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80" windowWidth="20745" windowHeight="12270" tabRatio="882" firstSheet="1" activeTab="1"/>
  </bookViews>
  <sheets>
    <sheet name="Chart Data" sheetId="8" state="hidden" r:id="rId1"/>
    <sheet name="Operating Budget -NO DATA ENTRY" sheetId="1" r:id="rId2"/>
    <sheet name="Acct Detail ENTER DATA HERE" sheetId="2" r:id="rId3"/>
    <sheet name="Office-Admin Exps - ENTER ADMIN" sheetId="14" r:id="rId4"/>
    <sheet name="Sheet2" sheetId="6" state="hidden" r:id="rId5"/>
    <sheet name="Sheet3" sheetId="7" state="hidden" r:id="rId6"/>
  </sheets>
  <definedNames>
    <definedName name="_xlnm.Print_Area" localSheetId="2">'Acct Detail ENTER DATA HERE'!$A$1:$Q$240</definedName>
    <definedName name="_xlnm.Print_Area" localSheetId="3">'Office-Admin Exps - ENTER ADMIN'!$A$1:$J$26</definedName>
    <definedName name="_xlnm.Print_Area" localSheetId="1">'Operating Budget -NO DATA ENTRY'!$A$1:$O$49</definedName>
    <definedName name="_xlnm.Print_Titles" localSheetId="2">'Acct Detail ENTER DATA HERE'!$A:$G,'Acct Detail ENTER DATA HERE'!$6:$6</definedName>
  </definedNames>
  <calcPr calcId="145621"/>
</workbook>
</file>

<file path=xl/calcChain.xml><?xml version="1.0" encoding="utf-8"?>
<calcChain xmlns="http://schemas.openxmlformats.org/spreadsheetml/2006/main">
  <c r="M93" i="2" l="1"/>
  <c r="M150" i="2" l="1"/>
  <c r="M119" i="2"/>
  <c r="E47" i="1" l="1"/>
  <c r="R205" i="2"/>
  <c r="Q205" i="2"/>
  <c r="A3" i="1"/>
  <c r="L205" i="2"/>
  <c r="M143" i="2"/>
  <c r="C26" i="14"/>
  <c r="D26" i="14" s="1"/>
  <c r="E26" i="14" s="1"/>
  <c r="M186" i="2" s="1"/>
  <c r="N186" i="2" s="1"/>
  <c r="E22" i="14"/>
  <c r="C18" i="14"/>
  <c r="D18" i="14" s="1"/>
  <c r="E18" i="14" s="1"/>
  <c r="M171" i="2" s="1"/>
  <c r="N171" i="2" s="1"/>
  <c r="O171" i="2" s="1"/>
  <c r="E8" i="14"/>
  <c r="D7" i="14"/>
  <c r="D9" i="14"/>
  <c r="D10" i="14" s="1"/>
  <c r="D20" i="14" s="1"/>
  <c r="D8" i="14"/>
  <c r="D6" i="14"/>
  <c r="D5" i="14"/>
  <c r="D4" i="14"/>
  <c r="D3" i="14"/>
  <c r="K74" i="2"/>
  <c r="K73" i="2"/>
  <c r="M73" i="2" s="1"/>
  <c r="J72" i="2"/>
  <c r="K72" i="2" s="1"/>
  <c r="M72" i="2" s="1"/>
  <c r="K71" i="2"/>
  <c r="M71" i="2"/>
  <c r="K70" i="2"/>
  <c r="M70" i="2"/>
  <c r="L65" i="2"/>
  <c r="M65" i="2"/>
  <c r="M145" i="2" s="1"/>
  <c r="I33" i="1" s="1"/>
  <c r="K62" i="2"/>
  <c r="M62" i="2"/>
  <c r="N62" i="2" s="1"/>
  <c r="O62" i="2" s="1"/>
  <c r="K60" i="2"/>
  <c r="M60" i="2"/>
  <c r="M134" i="2"/>
  <c r="M135" i="2"/>
  <c r="I22" i="1" s="1"/>
  <c r="K57" i="2"/>
  <c r="M57" i="2" s="1"/>
  <c r="M56" i="2"/>
  <c r="M50" i="2"/>
  <c r="M39" i="2"/>
  <c r="K33" i="2"/>
  <c r="M33" i="2"/>
  <c r="K32" i="2"/>
  <c r="M32" i="2"/>
  <c r="N32" i="2" s="1"/>
  <c r="O32" i="2" s="1"/>
  <c r="K31" i="2"/>
  <c r="M31" i="2"/>
  <c r="N31" i="2" s="1"/>
  <c r="L27" i="2"/>
  <c r="M27" i="2" s="1"/>
  <c r="N27" i="2" s="1"/>
  <c r="K26" i="2"/>
  <c r="M26" i="2" s="1"/>
  <c r="L25" i="2"/>
  <c r="M25" i="2" s="1"/>
  <c r="K21" i="2"/>
  <c r="M21" i="2" s="1"/>
  <c r="N21" i="2" s="1"/>
  <c r="K20" i="2"/>
  <c r="M20" i="2" s="1"/>
  <c r="N20" i="2" s="1"/>
  <c r="O20" i="2" s="1"/>
  <c r="K19" i="2"/>
  <c r="M19" i="2" s="1"/>
  <c r="L15" i="2"/>
  <c r="M15" i="2" s="1"/>
  <c r="N15" i="2" s="1"/>
  <c r="O15" i="2" s="1"/>
  <c r="L14" i="2"/>
  <c r="M13" i="2"/>
  <c r="N13" i="2"/>
  <c r="O13" i="2" s="1"/>
  <c r="M12" i="2"/>
  <c r="I11" i="2"/>
  <c r="M11" i="2"/>
  <c r="K185" i="2"/>
  <c r="C25" i="14"/>
  <c r="C24" i="14"/>
  <c r="D24" i="14" s="1"/>
  <c r="E24" i="14" s="1"/>
  <c r="M181" i="2" s="1"/>
  <c r="C23" i="14"/>
  <c r="D23" i="14"/>
  <c r="C22" i="14"/>
  <c r="D22" i="14" s="1"/>
  <c r="C21" i="14"/>
  <c r="D21" i="14" s="1"/>
  <c r="C19" i="14"/>
  <c r="D19" i="14" s="1"/>
  <c r="E19" i="14" s="1"/>
  <c r="M172" i="2" s="1"/>
  <c r="N172" i="2" s="1"/>
  <c r="O172" i="2" s="1"/>
  <c r="C17" i="14"/>
  <c r="D17" i="14"/>
  <c r="C16" i="14"/>
  <c r="D16" i="14" s="1"/>
  <c r="E16" i="14" s="1"/>
  <c r="M169" i="2" s="1"/>
  <c r="N169" i="2" s="1"/>
  <c r="O169" i="2" s="1"/>
  <c r="C15" i="14"/>
  <c r="D15" i="14" s="1"/>
  <c r="C13" i="14"/>
  <c r="D13" i="14" s="1"/>
  <c r="E13" i="14" s="1"/>
  <c r="M166" i="2" s="1"/>
  <c r="J115" i="2"/>
  <c r="J121" i="2" s="1"/>
  <c r="J109" i="2"/>
  <c r="J103" i="2"/>
  <c r="J97" i="2"/>
  <c r="K206" i="2"/>
  <c r="K205" i="2"/>
  <c r="O214" i="2"/>
  <c r="N214" i="2"/>
  <c r="L214" i="2"/>
  <c r="K93" i="2"/>
  <c r="K116" i="2"/>
  <c r="K119" i="2"/>
  <c r="M103" i="2"/>
  <c r="L93" i="2"/>
  <c r="L99" i="2"/>
  <c r="L100" i="2"/>
  <c r="L103" i="2" s="1"/>
  <c r="L101" i="2"/>
  <c r="L105" i="2"/>
  <c r="L111" i="2"/>
  <c r="L116" i="2"/>
  <c r="M116" i="2" s="1"/>
  <c r="L119" i="2"/>
  <c r="L136" i="2"/>
  <c r="L137" i="2"/>
  <c r="K105" i="2"/>
  <c r="K109" i="2" s="1"/>
  <c r="K137" i="2"/>
  <c r="M137" i="2" s="1"/>
  <c r="K99" i="2"/>
  <c r="K103" i="2" s="1"/>
  <c r="K100" i="2"/>
  <c r="K101" i="2"/>
  <c r="K111" i="2"/>
  <c r="K136" i="2"/>
  <c r="I103" i="2"/>
  <c r="E19" i="1" s="1"/>
  <c r="H103" i="2"/>
  <c r="D19" i="1" s="1"/>
  <c r="I138" i="2"/>
  <c r="H204" i="2"/>
  <c r="K192" i="2"/>
  <c r="K191" i="2"/>
  <c r="K190" i="2"/>
  <c r="M190" i="2"/>
  <c r="N190" i="2" s="1"/>
  <c r="O190" i="2" s="1"/>
  <c r="K186" i="2"/>
  <c r="K182" i="2"/>
  <c r="K181" i="2"/>
  <c r="K184" i="2"/>
  <c r="K189" i="2" s="1"/>
  <c r="K176" i="2"/>
  <c r="K175" i="2"/>
  <c r="K174" i="2"/>
  <c r="K173" i="2"/>
  <c r="K172" i="2"/>
  <c r="K171" i="2"/>
  <c r="K170" i="2"/>
  <c r="K169" i="2"/>
  <c r="K168" i="2"/>
  <c r="K167" i="2"/>
  <c r="K166" i="2"/>
  <c r="K162" i="2"/>
  <c r="K160" i="2"/>
  <c r="K159" i="2"/>
  <c r="K158" i="2"/>
  <c r="K157" i="2"/>
  <c r="K156" i="2"/>
  <c r="K151" i="2"/>
  <c r="K150" i="2"/>
  <c r="K149" i="2"/>
  <c r="K148" i="2"/>
  <c r="K147" i="2"/>
  <c r="K145" i="2"/>
  <c r="K144" i="2"/>
  <c r="K143" i="2"/>
  <c r="G39" i="1" s="1"/>
  <c r="K142" i="2"/>
  <c r="K141" i="2"/>
  <c r="M141" i="2" s="1"/>
  <c r="K140" i="2"/>
  <c r="G32" i="1"/>
  <c r="K135" i="2"/>
  <c r="K134" i="2"/>
  <c r="K131" i="2"/>
  <c r="K130" i="2"/>
  <c r="K129" i="2"/>
  <c r="K128" i="2"/>
  <c r="K127" i="2"/>
  <c r="K118" i="2"/>
  <c r="K117" i="2"/>
  <c r="K113" i="2"/>
  <c r="K112" i="2"/>
  <c r="K107" i="2"/>
  <c r="K106" i="2"/>
  <c r="K95" i="2"/>
  <c r="K94" i="2"/>
  <c r="M94" i="2" s="1"/>
  <c r="K80" i="2"/>
  <c r="K78" i="2"/>
  <c r="K69" i="2"/>
  <c r="K68" i="2"/>
  <c r="M68" i="2" s="1"/>
  <c r="N68" i="2" s="1"/>
  <c r="K67" i="2"/>
  <c r="K66" i="2"/>
  <c r="K65" i="2"/>
  <c r="K64" i="2"/>
  <c r="M64" i="2" s="1"/>
  <c r="K63" i="2"/>
  <c r="G15" i="1" s="1"/>
  <c r="K56" i="2"/>
  <c r="K55" i="2"/>
  <c r="G11" i="1" s="1"/>
  <c r="K52" i="2"/>
  <c r="K51" i="2"/>
  <c r="K50" i="2"/>
  <c r="K49" i="2"/>
  <c r="K48" i="2"/>
  <c r="K39" i="2"/>
  <c r="G14" i="1" s="1"/>
  <c r="K38" i="2"/>
  <c r="K37" i="2"/>
  <c r="K27" i="2"/>
  <c r="K25" i="2"/>
  <c r="K15" i="2"/>
  <c r="K14" i="2"/>
  <c r="M14" i="2"/>
  <c r="K13" i="2"/>
  <c r="K12" i="2"/>
  <c r="K11" i="2"/>
  <c r="L164" i="2"/>
  <c r="H31" i="1" s="1"/>
  <c r="F31" i="1"/>
  <c r="N143" i="2"/>
  <c r="O143" i="2"/>
  <c r="N150" i="2"/>
  <c r="O150" i="2" s="1"/>
  <c r="M185" i="2"/>
  <c r="E15" i="14"/>
  <c r="M168" i="2" s="1"/>
  <c r="N168" i="2" s="1"/>
  <c r="O168" i="2" s="1"/>
  <c r="E17" i="14"/>
  <c r="M170" i="2" s="1"/>
  <c r="N170" i="2" s="1"/>
  <c r="O170" i="2" s="1"/>
  <c r="E21" i="14"/>
  <c r="M174" i="2"/>
  <c r="N174" i="2" s="1"/>
  <c r="O174" i="2" s="1"/>
  <c r="E23" i="14"/>
  <c r="M176" i="2" s="1"/>
  <c r="N176" i="2" s="1"/>
  <c r="O176" i="2" s="1"/>
  <c r="I41" i="1"/>
  <c r="B29" i="8" s="1"/>
  <c r="M175" i="2"/>
  <c r="N175" i="2" s="1"/>
  <c r="O175" i="2" s="1"/>
  <c r="E10" i="14"/>
  <c r="E11" i="14" s="1"/>
  <c r="E20" i="14" s="1"/>
  <c r="M173" i="2" s="1"/>
  <c r="M167" i="2"/>
  <c r="N167" i="2"/>
  <c r="O167" i="2"/>
  <c r="G33" i="1"/>
  <c r="G22" i="1"/>
  <c r="G41" i="1"/>
  <c r="G23" i="1"/>
  <c r="G24" i="1"/>
  <c r="M113" i="2"/>
  <c r="N113" i="2" s="1"/>
  <c r="O113" i="2" s="1"/>
  <c r="K79" i="2"/>
  <c r="M69" i="2"/>
  <c r="N69" i="2" s="1"/>
  <c r="N72" i="2" s="1"/>
  <c r="O69" i="2"/>
  <c r="O72" i="2" s="1"/>
  <c r="M67" i="2"/>
  <c r="G13" i="1"/>
  <c r="K61" i="2"/>
  <c r="K75" i="2" s="1"/>
  <c r="N61" i="2"/>
  <c r="O61" i="2"/>
  <c r="M37" i="2"/>
  <c r="N33" i="2"/>
  <c r="N26" i="2"/>
  <c r="O26" i="2" s="1"/>
  <c r="N11" i="2"/>
  <c r="I47" i="1"/>
  <c r="D14" i="14"/>
  <c r="E14" i="14" s="1"/>
  <c r="L50" i="2"/>
  <c r="L145" i="2"/>
  <c r="N145" i="2"/>
  <c r="O145" i="2"/>
  <c r="H13" i="1"/>
  <c r="L39" i="2"/>
  <c r="H14" i="1"/>
  <c r="L31" i="2"/>
  <c r="M140" i="2"/>
  <c r="N213" i="2"/>
  <c r="L213" i="2"/>
  <c r="D45" i="1"/>
  <c r="M83" i="2"/>
  <c r="L77" i="2"/>
  <c r="M77" i="2" s="1"/>
  <c r="N77" i="2" s="1"/>
  <c r="O77" i="2" s="1"/>
  <c r="L56" i="2"/>
  <c r="N56" i="2"/>
  <c r="L45" i="2"/>
  <c r="M45" i="2"/>
  <c r="L46" i="2"/>
  <c r="M46" i="2" s="1"/>
  <c r="N46" i="2" s="1"/>
  <c r="O46" i="2" s="1"/>
  <c r="L47" i="2"/>
  <c r="M47" i="2"/>
  <c r="N47" i="2" s="1"/>
  <c r="L49" i="2"/>
  <c r="M49" i="2"/>
  <c r="N49" i="2" s="1"/>
  <c r="L48" i="2"/>
  <c r="N48" i="2"/>
  <c r="L191" i="2"/>
  <c r="M191" i="2" s="1"/>
  <c r="M161" i="2"/>
  <c r="I36" i="1" s="1"/>
  <c r="L148" i="2"/>
  <c r="M148" i="2" s="1"/>
  <c r="N148" i="2" s="1"/>
  <c r="L149" i="2"/>
  <c r="M149" i="2" s="1"/>
  <c r="L123" i="2"/>
  <c r="M123" i="2"/>
  <c r="L124" i="2"/>
  <c r="L125" i="2"/>
  <c r="L126" i="2"/>
  <c r="M126" i="2"/>
  <c r="N126" i="2" s="1"/>
  <c r="O126" i="2" s="1"/>
  <c r="L128" i="2"/>
  <c r="M128" i="2" s="1"/>
  <c r="N128" i="2" s="1"/>
  <c r="O128" i="2" s="1"/>
  <c r="C10" i="14"/>
  <c r="C20" i="14" s="1"/>
  <c r="M66" i="2"/>
  <c r="L215" i="2"/>
  <c r="L212" i="2"/>
  <c r="O215" i="2"/>
  <c r="N215" i="2"/>
  <c r="N212" i="2"/>
  <c r="G46" i="1"/>
  <c r="L94" i="2"/>
  <c r="L95" i="2"/>
  <c r="M95" i="2"/>
  <c r="N95" i="2" s="1"/>
  <c r="O95" i="2" s="1"/>
  <c r="L106" i="2"/>
  <c r="L107" i="2"/>
  <c r="L109" i="2" s="1"/>
  <c r="L112" i="2"/>
  <c r="L113" i="2"/>
  <c r="F20" i="1"/>
  <c r="F19" i="1"/>
  <c r="F22" i="1"/>
  <c r="F23" i="1"/>
  <c r="F24" i="1"/>
  <c r="E20" i="1"/>
  <c r="D20" i="1"/>
  <c r="D22" i="1"/>
  <c r="D23" i="1"/>
  <c r="D24" i="1"/>
  <c r="L24" i="1" s="1"/>
  <c r="L63" i="2"/>
  <c r="H15" i="1"/>
  <c r="L68" i="2"/>
  <c r="L70" i="2"/>
  <c r="L67" i="2"/>
  <c r="L69" i="2"/>
  <c r="L71" i="2"/>
  <c r="L60" i="2"/>
  <c r="L74" i="2"/>
  <c r="L64" i="2"/>
  <c r="L62" i="2"/>
  <c r="L61" i="2"/>
  <c r="I72" i="2"/>
  <c r="I75" i="2"/>
  <c r="H72" i="2"/>
  <c r="K124" i="2"/>
  <c r="K83" i="2"/>
  <c r="E31" i="1"/>
  <c r="L11" i="2"/>
  <c r="L12" i="2"/>
  <c r="L13" i="2"/>
  <c r="L19" i="2"/>
  <c r="L23" i="2" s="1"/>
  <c r="H10" i="1" s="1"/>
  <c r="L20" i="2"/>
  <c r="L21" i="2"/>
  <c r="L26" i="2"/>
  <c r="L32" i="2"/>
  <c r="L33" i="2"/>
  <c r="L37" i="2"/>
  <c r="L38" i="2"/>
  <c r="L141" i="2"/>
  <c r="H40" i="1" s="1"/>
  <c r="L147" i="2"/>
  <c r="L78" i="2"/>
  <c r="L57" i="2"/>
  <c r="L58" i="2" s="1"/>
  <c r="L76" i="2"/>
  <c r="L52" i="2"/>
  <c r="L51" i="2"/>
  <c r="L43" i="2"/>
  <c r="L44" i="2"/>
  <c r="L55" i="2"/>
  <c r="L80" i="2"/>
  <c r="H16" i="1"/>
  <c r="L117" i="2"/>
  <c r="L118" i="2"/>
  <c r="H23" i="1"/>
  <c r="L127" i="2"/>
  <c r="H34" i="1" s="1"/>
  <c r="L131" i="2"/>
  <c r="L129" i="2"/>
  <c r="H41" i="1"/>
  <c r="L130" i="2"/>
  <c r="L134" i="2"/>
  <c r="L135" i="2"/>
  <c r="L140" i="2"/>
  <c r="H32" i="1" s="1"/>
  <c r="L142" i="2"/>
  <c r="M142" i="2" s="1"/>
  <c r="I38" i="1"/>
  <c r="N38" i="1" s="1"/>
  <c r="H38" i="1"/>
  <c r="L143" i="2"/>
  <c r="H39" i="1"/>
  <c r="L150" i="2"/>
  <c r="L151" i="2"/>
  <c r="L156" i="2"/>
  <c r="L157" i="2"/>
  <c r="L158" i="2"/>
  <c r="L182" i="2"/>
  <c r="L159" i="2"/>
  <c r="L160" i="2"/>
  <c r="L144" i="2"/>
  <c r="D31" i="1"/>
  <c r="D30" i="1"/>
  <c r="D32" i="1"/>
  <c r="D33" i="1"/>
  <c r="D34" i="1"/>
  <c r="D35" i="1"/>
  <c r="H161" i="2"/>
  <c r="D37" i="1"/>
  <c r="D38" i="1"/>
  <c r="D39" i="1"/>
  <c r="D40" i="1"/>
  <c r="D41" i="1"/>
  <c r="L41" i="1" s="1"/>
  <c r="L166" i="2"/>
  <c r="L167" i="2"/>
  <c r="L168" i="2"/>
  <c r="L169" i="2"/>
  <c r="L170" i="2"/>
  <c r="L171" i="2"/>
  <c r="L172" i="2"/>
  <c r="L173" i="2"/>
  <c r="L174" i="2"/>
  <c r="L175" i="2"/>
  <c r="L176" i="2"/>
  <c r="L181" i="2"/>
  <c r="L184" i="2" s="1"/>
  <c r="L189" i="2" s="1"/>
  <c r="L185" i="2"/>
  <c r="L186" i="2"/>
  <c r="L192" i="2"/>
  <c r="L190" i="2"/>
  <c r="K125" i="2"/>
  <c r="K126" i="2"/>
  <c r="K43" i="2"/>
  <c r="K44" i="2"/>
  <c r="K45" i="2"/>
  <c r="K46" i="2"/>
  <c r="K53" i="2"/>
  <c r="K47" i="2"/>
  <c r="K76" i="2"/>
  <c r="K77" i="2"/>
  <c r="J132" i="2"/>
  <c r="J184" i="2"/>
  <c r="J189" i="2"/>
  <c r="J178" i="2"/>
  <c r="J161" i="2"/>
  <c r="F36" i="1" s="1"/>
  <c r="J153" i="2"/>
  <c r="J163" i="2" s="1"/>
  <c r="J195" i="2" s="1"/>
  <c r="J138" i="2"/>
  <c r="J17" i="2"/>
  <c r="J23" i="2"/>
  <c r="J29" i="2"/>
  <c r="J35" i="2"/>
  <c r="J53" i="2"/>
  <c r="F7" i="1"/>
  <c r="F8" i="1"/>
  <c r="F9" i="1"/>
  <c r="F11" i="1"/>
  <c r="F13" i="1"/>
  <c r="F14" i="1"/>
  <c r="F15" i="1"/>
  <c r="F16" i="1"/>
  <c r="J58" i="2"/>
  <c r="J83" i="2"/>
  <c r="L204" i="2"/>
  <c r="H45" i="1" s="1"/>
  <c r="K204" i="2"/>
  <c r="M204" i="2" s="1"/>
  <c r="I17" i="2"/>
  <c r="I41" i="2" s="1"/>
  <c r="I23" i="2"/>
  <c r="I29" i="2"/>
  <c r="I35" i="2"/>
  <c r="I53" i="2"/>
  <c r="I58" i="2"/>
  <c r="I83" i="2"/>
  <c r="I97" i="2"/>
  <c r="I121" i="2" s="1"/>
  <c r="I109" i="2"/>
  <c r="I115" i="2"/>
  <c r="I132" i="2"/>
  <c r="I184" i="2"/>
  <c r="I189" i="2" s="1"/>
  <c r="I178" i="2"/>
  <c r="I161" i="2"/>
  <c r="I153" i="2"/>
  <c r="I163" i="2" s="1"/>
  <c r="H132" i="2"/>
  <c r="H184" i="2"/>
  <c r="H189" i="2"/>
  <c r="H178" i="2"/>
  <c r="H153" i="2"/>
  <c r="H138" i="2"/>
  <c r="H115" i="2"/>
  <c r="H109" i="2"/>
  <c r="H121" i="2" s="1"/>
  <c r="H97" i="2"/>
  <c r="H53" i="2"/>
  <c r="H83" i="2"/>
  <c r="H58" i="2"/>
  <c r="H35" i="2"/>
  <c r="H29" i="2"/>
  <c r="H23" i="2"/>
  <c r="D10" i="1"/>
  <c r="L10" i="1" s="1"/>
  <c r="H17" i="2"/>
  <c r="E41" i="1"/>
  <c r="F41" i="1"/>
  <c r="G34" i="1"/>
  <c r="G38" i="1"/>
  <c r="G40" i="1"/>
  <c r="F46" i="1"/>
  <c r="F45" i="1"/>
  <c r="F32" i="1"/>
  <c r="F33" i="1"/>
  <c r="F34" i="1"/>
  <c r="F35" i="1"/>
  <c r="F37" i="1"/>
  <c r="F38" i="1"/>
  <c r="F39" i="1"/>
  <c r="F40" i="1"/>
  <c r="O68" i="2"/>
  <c r="N44" i="2"/>
  <c r="O44" i="2" s="1"/>
  <c r="N43" i="2"/>
  <c r="O43" i="2" s="1"/>
  <c r="E30" i="1"/>
  <c r="E32" i="1"/>
  <c r="E33" i="1"/>
  <c r="O33" i="1" s="1"/>
  <c r="E34" i="1"/>
  <c r="O34" i="1"/>
  <c r="E35" i="1"/>
  <c r="E37" i="1"/>
  <c r="I37" i="1"/>
  <c r="B21" i="8" s="1"/>
  <c r="E38" i="1"/>
  <c r="E39" i="1"/>
  <c r="E40" i="1"/>
  <c r="H46" i="1"/>
  <c r="E46" i="1"/>
  <c r="D46" i="1"/>
  <c r="E45" i="1"/>
  <c r="H24" i="1"/>
  <c r="E7" i="1"/>
  <c r="E8" i="1"/>
  <c r="E9" i="1"/>
  <c r="E11" i="1"/>
  <c r="L11" i="1" s="1"/>
  <c r="I11" i="1"/>
  <c r="B7" i="8"/>
  <c r="E13" i="1"/>
  <c r="E14" i="1"/>
  <c r="E15" i="1"/>
  <c r="E16" i="1"/>
  <c r="E22" i="1"/>
  <c r="O22" i="1"/>
  <c r="E23" i="1"/>
  <c r="E24" i="1"/>
  <c r="N24" i="1" s="1"/>
  <c r="I34" i="1"/>
  <c r="D7" i="1"/>
  <c r="D8" i="1"/>
  <c r="D9" i="1"/>
  <c r="I9" i="1"/>
  <c r="D11" i="1"/>
  <c r="K11" i="1" s="1"/>
  <c r="D13" i="1"/>
  <c r="K13" i="1" s="1"/>
  <c r="D14" i="1"/>
  <c r="D15" i="1"/>
  <c r="D16" i="1"/>
  <c r="G4" i="1"/>
  <c r="I46" i="1"/>
  <c r="I24" i="1"/>
  <c r="K24" i="1" s="1"/>
  <c r="N185" i="2"/>
  <c r="O185" i="2" s="1"/>
  <c r="N127" i="2"/>
  <c r="O127" i="2" s="1"/>
  <c r="N129" i="2"/>
  <c r="O129" i="2" s="1"/>
  <c r="L73" i="2"/>
  <c r="O209" i="2"/>
  <c r="N209" i="2"/>
  <c r="O208" i="2"/>
  <c r="N208" i="2"/>
  <c r="N157" i="2"/>
  <c r="N158" i="2"/>
  <c r="O158" i="2" s="1"/>
  <c r="N159" i="2"/>
  <c r="O159" i="2"/>
  <c r="N151" i="2"/>
  <c r="O151" i="2" s="1"/>
  <c r="H5" i="1"/>
  <c r="H4" i="1"/>
  <c r="N21" i="1"/>
  <c r="K21" i="1"/>
  <c r="O21" i="1"/>
  <c r="N57" i="2"/>
  <c r="N182" i="2"/>
  <c r="O182" i="2" s="1"/>
  <c r="N76" i="2"/>
  <c r="O76" i="2"/>
  <c r="D5" i="1"/>
  <c r="E5" i="1"/>
  <c r="F5" i="1"/>
  <c r="A14" i="8"/>
  <c r="A20" i="8"/>
  <c r="A22" i="8"/>
  <c r="A26" i="8"/>
  <c r="A27" i="8"/>
  <c r="A28" i="8"/>
  <c r="A21" i="8"/>
  <c r="A23" i="8"/>
  <c r="A18" i="8"/>
  <c r="A19" i="8"/>
  <c r="A29" i="8"/>
  <c r="A15" i="8"/>
  <c r="A17" i="8"/>
  <c r="A24" i="8"/>
  <c r="B24" i="8"/>
  <c r="A25" i="8"/>
  <c r="A16" i="8"/>
  <c r="A11" i="8"/>
  <c r="A4" i="8"/>
  <c r="A3" i="8"/>
  <c r="A5" i="8"/>
  <c r="A7" i="8"/>
  <c r="A8" i="8"/>
  <c r="A9" i="8"/>
  <c r="A10" i="8"/>
  <c r="A6" i="8"/>
  <c r="A2" i="8"/>
  <c r="N101" i="2"/>
  <c r="O101" i="2"/>
  <c r="N99" i="2"/>
  <c r="O99" i="2" s="1"/>
  <c r="O103" i="2"/>
  <c r="N100" i="2"/>
  <c r="O100" i="2"/>
  <c r="N80" i="2"/>
  <c r="O80" i="2"/>
  <c r="O83" i="2" s="1"/>
  <c r="N78" i="2"/>
  <c r="O78" i="2" s="1"/>
  <c r="N38" i="2"/>
  <c r="O38" i="2"/>
  <c r="N19" i="2"/>
  <c r="O19" i="2" s="1"/>
  <c r="N173" i="2"/>
  <c r="O173" i="2"/>
  <c r="L21" i="1"/>
  <c r="N136" i="2"/>
  <c r="N140" i="2"/>
  <c r="O140" i="2" s="1"/>
  <c r="N192" i="2"/>
  <c r="O192" i="2"/>
  <c r="N142" i="2"/>
  <c r="O142" i="2" s="1"/>
  <c r="N156" i="2"/>
  <c r="O156" i="2" s="1"/>
  <c r="N147" i="2"/>
  <c r="O147" i="2"/>
  <c r="N111" i="2"/>
  <c r="N105" i="2"/>
  <c r="O105" i="2" s="1"/>
  <c r="H11" i="1"/>
  <c r="F30" i="1"/>
  <c r="M124" i="2"/>
  <c r="I32" i="1" s="1"/>
  <c r="K178" i="2"/>
  <c r="G9" i="1"/>
  <c r="H33" i="1"/>
  <c r="M58" i="2"/>
  <c r="L17" i="2"/>
  <c r="I13" i="1"/>
  <c r="B9" i="8" s="1"/>
  <c r="N65" i="2"/>
  <c r="O65" i="2"/>
  <c r="N118" i="2"/>
  <c r="O118" i="2"/>
  <c r="I23" i="1"/>
  <c r="N23" i="1" s="1"/>
  <c r="O41" i="1"/>
  <c r="N39" i="2"/>
  <c r="I14" i="1"/>
  <c r="K14" i="1" s="1"/>
  <c r="O48" i="2"/>
  <c r="L29" i="2"/>
  <c r="K23" i="2"/>
  <c r="G10" i="1" s="1"/>
  <c r="N41" i="1"/>
  <c r="K23" i="1"/>
  <c r="G16" i="1"/>
  <c r="H37" i="1"/>
  <c r="N45" i="2"/>
  <c r="O45" i="2" s="1"/>
  <c r="L23" i="1"/>
  <c r="O23" i="1"/>
  <c r="N37" i="2"/>
  <c r="O11" i="2"/>
  <c r="N12" i="2"/>
  <c r="O12" i="2" s="1"/>
  <c r="N141" i="2"/>
  <c r="O141" i="2" s="1"/>
  <c r="I40" i="1"/>
  <c r="O38" i="1"/>
  <c r="K138" i="2"/>
  <c r="N83" i="2"/>
  <c r="N93" i="2"/>
  <c r="O93" i="2" s="1"/>
  <c r="I39" i="1"/>
  <c r="K39" i="1"/>
  <c r="L115" i="2"/>
  <c r="K58" i="2"/>
  <c r="H41" i="2"/>
  <c r="M35" i="2"/>
  <c r="O24" i="1"/>
  <c r="N11" i="1"/>
  <c r="H7" i="1"/>
  <c r="N103" i="2"/>
  <c r="L35" i="2"/>
  <c r="N9" i="1"/>
  <c r="L14" i="1"/>
  <c r="O9" i="1"/>
  <c r="O39" i="2"/>
  <c r="K38" i="1"/>
  <c r="L38" i="1"/>
  <c r="K33" i="1"/>
  <c r="G20" i="1"/>
  <c r="M106" i="2"/>
  <c r="K161" i="2"/>
  <c r="G37" i="1"/>
  <c r="G30" i="1"/>
  <c r="B22" i="8"/>
  <c r="K22" i="1"/>
  <c r="B18" i="8"/>
  <c r="K29" i="2"/>
  <c r="O157" i="2"/>
  <c r="K35" i="2"/>
  <c r="J75" i="2"/>
  <c r="I15" i="1"/>
  <c r="N63" i="2"/>
  <c r="O63" i="2" s="1"/>
  <c r="N40" i="1"/>
  <c r="B19" i="8"/>
  <c r="L39" i="1"/>
  <c r="K32" i="1"/>
  <c r="G36" i="1"/>
  <c r="G12" i="1"/>
  <c r="N106" i="2"/>
  <c r="O106" i="2" s="1"/>
  <c r="I8" i="1"/>
  <c r="N25" i="2"/>
  <c r="N15" i="1"/>
  <c r="M75" i="2"/>
  <c r="L8" i="1"/>
  <c r="O25" i="2"/>
  <c r="O111" i="2"/>
  <c r="O47" i="2"/>
  <c r="N116" i="2"/>
  <c r="O116" i="2" s="1"/>
  <c r="K8" i="1"/>
  <c r="N33" i="1"/>
  <c r="L33" i="1"/>
  <c r="N22" i="1"/>
  <c r="L13" i="1"/>
  <c r="L138" i="2"/>
  <c r="H22" i="1"/>
  <c r="G31" i="1"/>
  <c r="O31" i="2"/>
  <c r="O136" i="2"/>
  <c r="O138" i="2" s="1"/>
  <c r="N138" i="2"/>
  <c r="O57" i="2"/>
  <c r="N13" i="1"/>
  <c r="O13" i="1"/>
  <c r="E10" i="1"/>
  <c r="O10" i="1" s="1"/>
  <c r="L161" i="2"/>
  <c r="H8" i="1"/>
  <c r="B4" i="8"/>
  <c r="B26" i="8"/>
  <c r="N34" i="1"/>
  <c r="L22" i="1"/>
  <c r="B25" i="8"/>
  <c r="B10" i="8"/>
  <c r="B3" i="8"/>
  <c r="O11" i="1"/>
  <c r="E36" i="1"/>
  <c r="G19" i="1"/>
  <c r="G25" i="1" s="1"/>
  <c r="O14" i="1"/>
  <c r="I45" i="1"/>
  <c r="O204" i="2"/>
  <c r="K41" i="1"/>
  <c r="L53" i="2"/>
  <c r="M53" i="2"/>
  <c r="I12" i="1" s="1"/>
  <c r="M138" i="2"/>
  <c r="L83" i="2"/>
  <c r="M17" i="2"/>
  <c r="O36" i="1"/>
  <c r="H36" i="1"/>
  <c r="O213" i="2"/>
  <c r="O212" i="2"/>
  <c r="O21" i="2"/>
  <c r="O23" i="2"/>
  <c r="N23" i="2"/>
  <c r="M23" i="2"/>
  <c r="I10" i="1"/>
  <c r="B5" i="8" s="1"/>
  <c r="H163" i="2" l="1"/>
  <c r="H35" i="1"/>
  <c r="L37" i="1"/>
  <c r="L153" i="2"/>
  <c r="L163" i="2" s="1"/>
  <c r="K153" i="2"/>
  <c r="K163" i="2" s="1"/>
  <c r="O148" i="2"/>
  <c r="N32" i="1"/>
  <c r="O32" i="1"/>
  <c r="B20" i="8"/>
  <c r="L32" i="1"/>
  <c r="H30" i="1"/>
  <c r="H42" i="1" s="1"/>
  <c r="H75" i="2"/>
  <c r="H85" i="2" s="1"/>
  <c r="H89" i="2" s="1"/>
  <c r="D12" i="1"/>
  <c r="L12" i="1" s="1"/>
  <c r="N123" i="2"/>
  <c r="O56" i="2"/>
  <c r="O58" i="2" s="1"/>
  <c r="N58" i="2"/>
  <c r="N64" i="2"/>
  <c r="O64" i="2" s="1"/>
  <c r="O75" i="2" s="1"/>
  <c r="I16" i="1"/>
  <c r="N94" i="2"/>
  <c r="M97" i="2"/>
  <c r="M112" i="2"/>
  <c r="K115" i="2"/>
  <c r="D25" i="1"/>
  <c r="O27" i="2"/>
  <c r="N29" i="2"/>
  <c r="K10" i="1"/>
  <c r="B6" i="8"/>
  <c r="O15" i="1"/>
  <c r="L15" i="1"/>
  <c r="K15" i="1"/>
  <c r="L178" i="2"/>
  <c r="O37" i="1"/>
  <c r="N37" i="1"/>
  <c r="E12" i="1"/>
  <c r="I85" i="2"/>
  <c r="I89" i="2" s="1"/>
  <c r="F10" i="1"/>
  <c r="J41" i="2"/>
  <c r="E42" i="1"/>
  <c r="H20" i="1"/>
  <c r="L97" i="2"/>
  <c r="B28" i="8"/>
  <c r="N36" i="1"/>
  <c r="O49" i="2"/>
  <c r="O53" i="2" s="1"/>
  <c r="N53" i="2"/>
  <c r="O33" i="2"/>
  <c r="O35" i="2" s="1"/>
  <c r="N35" i="2"/>
  <c r="N75" i="2"/>
  <c r="N10" i="1"/>
  <c r="O29" i="2"/>
  <c r="N161" i="2"/>
  <c r="K40" i="1"/>
  <c r="L40" i="1"/>
  <c r="O40" i="1"/>
  <c r="O37" i="2"/>
  <c r="L9" i="1"/>
  <c r="D17" i="1"/>
  <c r="O8" i="1"/>
  <c r="N8" i="1"/>
  <c r="O39" i="1"/>
  <c r="N39" i="1"/>
  <c r="I195" i="2"/>
  <c r="F12" i="1"/>
  <c r="J85" i="2"/>
  <c r="J89" i="2" s="1"/>
  <c r="J196" i="2" s="1"/>
  <c r="J203" i="2" s="1"/>
  <c r="J208" i="2" s="1"/>
  <c r="H9" i="1"/>
  <c r="L41" i="2"/>
  <c r="M125" i="2"/>
  <c r="L132" i="2"/>
  <c r="N149" i="2"/>
  <c r="O149" i="2" s="1"/>
  <c r="M153" i="2"/>
  <c r="M163" i="2" s="1"/>
  <c r="G8" i="1"/>
  <c r="N12" i="1"/>
  <c r="B8" i="8"/>
  <c r="N124" i="2"/>
  <c r="O124" i="2" s="1"/>
  <c r="L121" i="2"/>
  <c r="O161" i="2"/>
  <c r="F42" i="1"/>
  <c r="H195" i="2"/>
  <c r="F17" i="1"/>
  <c r="K34" i="1"/>
  <c r="L34" i="1"/>
  <c r="L72" i="2"/>
  <c r="L75" i="2" s="1"/>
  <c r="L85" i="2" s="1"/>
  <c r="L89" i="2" s="1"/>
  <c r="G7" i="1"/>
  <c r="G17" i="1" s="1"/>
  <c r="G27" i="1" s="1"/>
  <c r="K17" i="2"/>
  <c r="K41" i="2" s="1"/>
  <c r="K85" i="2" s="1"/>
  <c r="K89" i="2" s="1"/>
  <c r="N14" i="1"/>
  <c r="G45" i="1"/>
  <c r="D36" i="1"/>
  <c r="B23" i="8"/>
  <c r="F25" i="1"/>
  <c r="M107" i="2"/>
  <c r="E25" i="1"/>
  <c r="K9" i="1"/>
  <c r="K132" i="2"/>
  <c r="G35" i="1"/>
  <c r="G42" i="1" s="1"/>
  <c r="N14" i="2"/>
  <c r="O14" i="2" s="1"/>
  <c r="O17" i="2" s="1"/>
  <c r="I7" i="1"/>
  <c r="H19" i="1"/>
  <c r="H25" i="1" s="1"/>
  <c r="K97" i="2"/>
  <c r="M29" i="2"/>
  <c r="M41" i="2" s="1"/>
  <c r="M85" i="2" s="1"/>
  <c r="M89" i="2" s="1"/>
  <c r="K37" i="1"/>
  <c r="N166" i="2"/>
  <c r="M178" i="2"/>
  <c r="I30" i="1"/>
  <c r="N181" i="2"/>
  <c r="M184" i="2"/>
  <c r="M189" i="2" s="1"/>
  <c r="O186" i="2"/>
  <c r="O189" i="2" s="1"/>
  <c r="N189" i="2"/>
  <c r="O153" i="2" l="1"/>
  <c r="L195" i="2"/>
  <c r="L196" i="2" s="1"/>
  <c r="L203" i="2" s="1"/>
  <c r="L208" i="2" s="1"/>
  <c r="I19" i="1"/>
  <c r="I31" i="1"/>
  <c r="N164" i="2"/>
  <c r="O164" i="2" s="1"/>
  <c r="O41" i="2"/>
  <c r="H17" i="1"/>
  <c r="H27" i="1" s="1"/>
  <c r="H44" i="1" s="1"/>
  <c r="O85" i="2"/>
  <c r="O89" i="2" s="1"/>
  <c r="O119" i="2" s="1"/>
  <c r="M109" i="2"/>
  <c r="N107" i="2"/>
  <c r="F27" i="1"/>
  <c r="F44" i="1" s="1"/>
  <c r="F50" i="1" s="1"/>
  <c r="N125" i="2"/>
  <c r="O125" i="2" s="1"/>
  <c r="I35" i="1"/>
  <c r="I42" i="1" s="1"/>
  <c r="I196" i="2"/>
  <c r="I203" i="2" s="1"/>
  <c r="I208" i="2" s="1"/>
  <c r="I20" i="1"/>
  <c r="O123" i="2"/>
  <c r="O132" i="2" s="1"/>
  <c r="N132" i="2"/>
  <c r="H12" i="1"/>
  <c r="O12" i="1"/>
  <c r="E17" i="1"/>
  <c r="K121" i="2"/>
  <c r="K195" i="2" s="1"/>
  <c r="K196" i="2" s="1"/>
  <c r="K203" i="2" s="1"/>
  <c r="K208" i="2" s="1"/>
  <c r="O94" i="2"/>
  <c r="O97" i="2" s="1"/>
  <c r="N97" i="2"/>
  <c r="L7" i="1"/>
  <c r="N7" i="1"/>
  <c r="B2" i="8"/>
  <c r="K7" i="1"/>
  <c r="O7" i="1"/>
  <c r="I17" i="1"/>
  <c r="D27" i="1"/>
  <c r="M115" i="2"/>
  <c r="M121" i="2" s="1"/>
  <c r="N112" i="2"/>
  <c r="N16" i="1"/>
  <c r="K16" i="1"/>
  <c r="B11" i="8"/>
  <c r="L16" i="1"/>
  <c r="O16" i="1"/>
  <c r="H196" i="2"/>
  <c r="H203" i="2" s="1"/>
  <c r="H208" i="2" s="1"/>
  <c r="K12" i="1"/>
  <c r="L36" i="1"/>
  <c r="K36" i="1"/>
  <c r="D42" i="1"/>
  <c r="G44" i="1"/>
  <c r="O163" i="2"/>
  <c r="J209" i="2"/>
  <c r="F49" i="1" s="1"/>
  <c r="F48" i="1"/>
  <c r="N17" i="2"/>
  <c r="N41" i="2" s="1"/>
  <c r="N85" i="2" s="1"/>
  <c r="N89" i="2" s="1"/>
  <c r="N119" i="2" s="1"/>
  <c r="M132" i="2"/>
  <c r="N153" i="2"/>
  <c r="N163" i="2" s="1"/>
  <c r="O166" i="2"/>
  <c r="O178" i="2" s="1"/>
  <c r="N178" i="2"/>
  <c r="N184" i="2"/>
  <c r="O181" i="2"/>
  <c r="O184" i="2" s="1"/>
  <c r="O30" i="1"/>
  <c r="K30" i="1"/>
  <c r="N30" i="1"/>
  <c r="L30" i="1"/>
  <c r="B15" i="8"/>
  <c r="H50" i="1" l="1"/>
  <c r="M195" i="2"/>
  <c r="M196" i="2" s="1"/>
  <c r="M203" i="2" s="1"/>
  <c r="M209" i="2" s="1"/>
  <c r="I49" i="1" s="1"/>
  <c r="G48" i="1"/>
  <c r="K209" i="2"/>
  <c r="G49" i="1" s="1"/>
  <c r="G50" i="1"/>
  <c r="O112" i="2"/>
  <c r="O115" i="2" s="1"/>
  <c r="N115" i="2"/>
  <c r="N121" i="2" s="1"/>
  <c r="N195" i="2" s="1"/>
  <c r="N196" i="2" s="1"/>
  <c r="N203" i="2" s="1"/>
  <c r="N17" i="1"/>
  <c r="I209" i="2"/>
  <c r="E49" i="1" s="1"/>
  <c r="E48" i="1"/>
  <c r="H48" i="1"/>
  <c r="L209" i="2"/>
  <c r="H49" i="1" s="1"/>
  <c r="O31" i="1"/>
  <c r="B14" i="8"/>
  <c r="N31" i="1"/>
  <c r="K31" i="1"/>
  <c r="L31" i="1"/>
  <c r="E27" i="1"/>
  <c r="O17" i="1"/>
  <c r="N35" i="1"/>
  <c r="K35" i="1"/>
  <c r="O35" i="1"/>
  <c r="B27" i="8"/>
  <c r="L35" i="1"/>
  <c r="O107" i="2"/>
  <c r="O109" i="2" s="1"/>
  <c r="O121" i="2" s="1"/>
  <c r="O195" i="2" s="1"/>
  <c r="O196" i="2" s="1"/>
  <c r="O203" i="2" s="1"/>
  <c r="N109" i="2"/>
  <c r="H209" i="2"/>
  <c r="D49" i="1" s="1"/>
  <c r="D48" i="1"/>
  <c r="L17" i="1"/>
  <c r="K17" i="1"/>
  <c r="D44" i="1"/>
  <c r="D50" i="1" s="1"/>
  <c r="K20" i="1"/>
  <c r="L20" i="1"/>
  <c r="N20" i="1"/>
  <c r="B17" i="8"/>
  <c r="O20" i="1"/>
  <c r="O19" i="1"/>
  <c r="N19" i="1"/>
  <c r="N25" i="1" s="1"/>
  <c r="I25" i="1"/>
  <c r="B16" i="8"/>
  <c r="K19" i="1"/>
  <c r="K25" i="1" s="1"/>
  <c r="L19" i="1"/>
  <c r="L42" i="1"/>
  <c r="O42" i="1"/>
  <c r="N42" i="1" l="1"/>
  <c r="M208" i="2"/>
  <c r="I48" i="1" s="1"/>
  <c r="K48" i="1" s="1"/>
  <c r="K42" i="1"/>
  <c r="L25" i="1"/>
  <c r="O25" i="1"/>
  <c r="L27" i="1"/>
  <c r="O27" i="1"/>
  <c r="E44" i="1"/>
  <c r="E50" i="1" s="1"/>
  <c r="I27" i="1"/>
  <c r="N49" i="1"/>
  <c r="O49" i="1"/>
  <c r="L49" i="1"/>
  <c r="K49" i="1"/>
  <c r="N48" i="1" l="1"/>
  <c r="O48" i="1"/>
  <c r="L48" i="1"/>
  <c r="N27" i="1"/>
  <c r="K27" i="1"/>
  <c r="I44" i="1"/>
  <c r="N44" i="1" l="1"/>
  <c r="L44" i="1"/>
  <c r="I50" i="1"/>
  <c r="K44" i="1"/>
  <c r="O44" i="1"/>
</calcChain>
</file>

<file path=xl/sharedStrings.xml><?xml version="1.0" encoding="utf-8"?>
<sst xmlns="http://schemas.openxmlformats.org/spreadsheetml/2006/main" count="515" uniqueCount="356">
  <si>
    <t>Libertarian National Committee, Inc.</t>
  </si>
  <si>
    <t>Support and Revenue</t>
  </si>
  <si>
    <t>20-Membership Dues</t>
  </si>
  <si>
    <t>22-Recurring Gifts</t>
  </si>
  <si>
    <t>25-Project Program Revenue</t>
  </si>
  <si>
    <t>29-Other Revenue &amp; Offsets</t>
  </si>
  <si>
    <t>Total Support and Revenue</t>
  </si>
  <si>
    <t>Cost of Support and Revenue</t>
  </si>
  <si>
    <t>32-Fundraising Costs</t>
  </si>
  <si>
    <t>33-Membership Fundraising Costs</t>
  </si>
  <si>
    <t>34-Direct Costs</t>
  </si>
  <si>
    <t>35-Convention</t>
  </si>
  <si>
    <t>36-BallotAccess Fundraising Exp</t>
  </si>
  <si>
    <t>Total Cost of Support and Revenue</t>
  </si>
  <si>
    <t>Net Support Available for Programs</t>
  </si>
  <si>
    <t>Program Expense</t>
  </si>
  <si>
    <t>40-Adminstrative Costs</t>
  </si>
  <si>
    <t>45-Compensation</t>
  </si>
  <si>
    <t>50-Affiliate Support</t>
  </si>
  <si>
    <t>58-Campus Outreach</t>
  </si>
  <si>
    <t>60-Candidate, Campaign &amp; Initiatives</t>
  </si>
  <si>
    <t>75-Litigation</t>
  </si>
  <si>
    <t>80-Media</t>
  </si>
  <si>
    <t>88-Outreach</t>
  </si>
  <si>
    <t>90-Project Program Other</t>
  </si>
  <si>
    <t>Total Program Expense</t>
  </si>
  <si>
    <t>Net Operating Surplus (or Deficit)</t>
  </si>
  <si>
    <t>Notes</t>
  </si>
  <si>
    <t>Ordinary Revenue/Expense</t>
  </si>
  <si>
    <t>Revenue</t>
  </si>
  <si>
    <t>4000 · General Fundraising</t>
  </si>
  <si>
    <t>4010 · Direct Mail Fundraising</t>
  </si>
  <si>
    <t>4010-10 · DM - House Fundraising General</t>
  </si>
  <si>
    <t>4010-11 · DM - House Fundraising Renewal</t>
  </si>
  <si>
    <t>4010-20 · DM - Donor Renewal</t>
  </si>
  <si>
    <t>4010-30 · DM - New Donor Prospecting</t>
  </si>
  <si>
    <t>4010 · Direct Mail Fundraising - Other</t>
  </si>
  <si>
    <t>Total 4010 · Direct Mail Fundraising</t>
  </si>
  <si>
    <t>4020 · Direct Solicitation Major Donor</t>
  </si>
  <si>
    <t>4020-10 · Board Solicitation</t>
  </si>
  <si>
    <t>4020-20 · Chair Solicitation</t>
  </si>
  <si>
    <t>4020-30 · ED Solicitation</t>
  </si>
  <si>
    <t>4020 · Direct Solicitation Major Donor - Other</t>
  </si>
  <si>
    <t>Total 4020 · Direct Solicitation Major Donor</t>
  </si>
  <si>
    <t>4030 · Online Contributions - Web</t>
  </si>
  <si>
    <t>4030-10 · Online Cont - General</t>
  </si>
  <si>
    <t>4030-20 · Online Cont - Donor Renewal</t>
  </si>
  <si>
    <t>4030-30 · Online Cont - New Donor Prosp</t>
  </si>
  <si>
    <t>4030 · Online Contributions - Web - Other</t>
  </si>
  <si>
    <t>Total 4030 · Online Contributions - Web</t>
  </si>
  <si>
    <t>4040 · Tele Fundraising - Phone Bank</t>
  </si>
  <si>
    <t>4040-20 · Tele Fund - Donor Renewal</t>
  </si>
  <si>
    <t>4040-30 · Tele Fund - New Donor Prosp</t>
  </si>
  <si>
    <t>4040 · Tele Fundraising - Phone Bank - Other</t>
  </si>
  <si>
    <t>Total 4040 · Tele Fundraising - Phone Bank</t>
  </si>
  <si>
    <t>4070 · Memb - Def Rev Adjustment</t>
  </si>
  <si>
    <t>4080 · Recurring Contrib - Pledge</t>
  </si>
  <si>
    <t>4085 · Bequests</t>
  </si>
  <si>
    <t>4000 · General Fundraising - Other</t>
  </si>
  <si>
    <t>Total 4000 · General Fundraising</t>
  </si>
  <si>
    <t>4100 · Project Revenue</t>
  </si>
  <si>
    <t>Total 4100 · Project Revenue</t>
  </si>
  <si>
    <t>4200 · Events and Conventions</t>
  </si>
  <si>
    <t>4200-10 · Convention Revenue</t>
  </si>
  <si>
    <t>4200-20 · Other Events</t>
  </si>
  <si>
    <t>Total 4200 · Events and Conventions</t>
  </si>
  <si>
    <t>4300 · Program Revenue</t>
  </si>
  <si>
    <t>4310 · Affiliate Development</t>
  </si>
  <si>
    <t>4330 · Media Relations</t>
  </si>
  <si>
    <t>4340 · LP News</t>
  </si>
  <si>
    <t>4350 · List Rental</t>
  </si>
  <si>
    <t>4360 · Campaign Candidate Support</t>
  </si>
  <si>
    <t>4360-10 · Ballot Base</t>
  </si>
  <si>
    <t>4360-20 · Candidate Tracker</t>
  </si>
  <si>
    <t>4360-30 · LibertyDecides08</t>
  </si>
  <si>
    <t>4360 · Campaign Candidate Support - Other</t>
  </si>
  <si>
    <t>Total 4360 · Campaign Candidate Support</t>
  </si>
  <si>
    <t>4370 · Other - Material Sales</t>
  </si>
  <si>
    <t>Total 4300 · Program Revenue</t>
  </si>
  <si>
    <t>4400 · Trf fr Auth. FEC Comm - PACS</t>
  </si>
  <si>
    <t>4500 · Offsets to Operating Expend</t>
  </si>
  <si>
    <t>4600 · Refunds of Contributions</t>
  </si>
  <si>
    <t>4700 · Other Receipts</t>
  </si>
  <si>
    <t>4710 · Interest &amp; Dividends</t>
  </si>
  <si>
    <t>4720 · Miscellaneous Receipts</t>
  </si>
  <si>
    <t>4700 · Other Receipts - Other</t>
  </si>
  <si>
    <t>Total 4700 · Other Receipts</t>
  </si>
  <si>
    <t>4999 · RE Revenue Unclassified</t>
  </si>
  <si>
    <t>Total Revenue</t>
  </si>
  <si>
    <t>Cost of Goods Sold</t>
  </si>
  <si>
    <t>50 · Cost of Goods Sold</t>
  </si>
  <si>
    <t>Total COGS</t>
  </si>
  <si>
    <t>Gross Proceeds</t>
  </si>
  <si>
    <t>Expense</t>
  </si>
  <si>
    <t>7000 · General Fundraising Expense</t>
  </si>
  <si>
    <t>7010 · Direct Mail Fundraising Exp</t>
  </si>
  <si>
    <t>7010-10 · DM - House General Expense</t>
  </si>
  <si>
    <t>7010-20 · DM - Donor Renewal Expense</t>
  </si>
  <si>
    <t>7010-30 · DM - New Donor Prospecting Exp</t>
  </si>
  <si>
    <t>7010 · Direct Mail Fundraising Exp - Other</t>
  </si>
  <si>
    <t>Total 7010 · Direct Mail Fundraising Exp</t>
  </si>
  <si>
    <t>7020 · Direct Sol Major Donor Expense</t>
  </si>
  <si>
    <t>7020-10 · Board Solicitation Expense</t>
  </si>
  <si>
    <t>7020-20 · Chair Solicitation Expense</t>
  </si>
  <si>
    <t>7020-30 · ED Solicitation Expense</t>
  </si>
  <si>
    <t>7020 · Direct Sol Major Donor Expense - Other</t>
  </si>
  <si>
    <t>Total 7020 · Direct Sol Major Donor Expense</t>
  </si>
  <si>
    <t>7030 · Online Contributions Exp - Web</t>
  </si>
  <si>
    <t>7030-10 · Online Cont Exp - General</t>
  </si>
  <si>
    <t>7030-20 · Online Cont Exp - Donor Renewal</t>
  </si>
  <si>
    <t>7030-30 · Online Cont Exp - New Donor</t>
  </si>
  <si>
    <t>7030 · Online Contributions Exp - Web - Other</t>
  </si>
  <si>
    <t>Total 7030 · Online Contributions Exp - Web</t>
  </si>
  <si>
    <t>7040 · Tele Fundraising Expense</t>
  </si>
  <si>
    <t>7040-10 · Tele Fund Exp - General</t>
  </si>
  <si>
    <t>7040-20 · Tele Fund Exp - Donor Renewal</t>
  </si>
  <si>
    <t>7040-30 · Tele Fund Exp - New Donor Prosp</t>
  </si>
  <si>
    <t>7040 · Tele Fundraising Expense - Other</t>
  </si>
  <si>
    <t>Total 7040 · Tele Fundraising Expense</t>
  </si>
  <si>
    <t>7080 · Recurring Contrib - Pledge</t>
  </si>
  <si>
    <t>7085 · Building Fund Fundraising Exp</t>
  </si>
  <si>
    <t>7090 · Ballot Access Fundraising Exp</t>
  </si>
  <si>
    <t>7095 · Credit Card Prc Fees</t>
  </si>
  <si>
    <t>7000 · General Fundraising Expense - Other</t>
  </si>
  <si>
    <t>Total 7000 · General Fundraising Expense</t>
  </si>
  <si>
    <t>7100 · Project-Related Expenses</t>
  </si>
  <si>
    <t>7130 · Libertarian Leadership School</t>
  </si>
  <si>
    <t>7150 · Drug War</t>
  </si>
  <si>
    <t>7170 · Raiser's Edge Fundraising</t>
  </si>
  <si>
    <t>Total 7100 · Project-Related Expenses</t>
  </si>
  <si>
    <t>7200 · Events and Conventions Exp</t>
  </si>
  <si>
    <t>7200-10 · Convention Expenses - General</t>
  </si>
  <si>
    <t>7200-30 · Other Events</t>
  </si>
  <si>
    <t>Total 7200 · Events and Conventions Exp</t>
  </si>
  <si>
    <t>7300 · Program-Related Expenses</t>
  </si>
  <si>
    <t>7310 · Affiliate Development</t>
  </si>
  <si>
    <t>7340 · LP News</t>
  </si>
  <si>
    <t>7350 · List Rental</t>
  </si>
  <si>
    <t>7360 · Campaign Candidate Support</t>
  </si>
  <si>
    <t>7360-20 · Candidate Tracker</t>
  </si>
  <si>
    <t>7360-30 · LibertyDecides08</t>
  </si>
  <si>
    <t>7360-50 · Initiative Campaign Support</t>
  </si>
  <si>
    <t>7360 · Campaign Candidate Support - Other</t>
  </si>
  <si>
    <t>Total 7360 · Campaign Candidate Support</t>
  </si>
  <si>
    <t>7370 · Material Sales</t>
  </si>
  <si>
    <t>7380 · Ballot Access - Other</t>
  </si>
  <si>
    <t>7380-10 · Ballot Access Petitioning Exp.</t>
  </si>
  <si>
    <t>7380-20 · Ballot Access Travel Expense</t>
  </si>
  <si>
    <t>7380-30 · Ballot Access Legal</t>
  </si>
  <si>
    <t>7380-40 · Ballot Access Lobbying</t>
  </si>
  <si>
    <t>Total 7380 · Ballot Access - Other</t>
  </si>
  <si>
    <t>Total 7300 · Program-Related Expenses</t>
  </si>
  <si>
    <t>8110 · Ofc Supplies &amp; Non Cap Equipt</t>
  </si>
  <si>
    <t>8115 · Bad Debts Expense</t>
  </si>
  <si>
    <t>8120 · Telephone &amp; Data Services</t>
  </si>
  <si>
    <t>8125 · Equipment Leases &amp; Maint.</t>
  </si>
  <si>
    <t>8130 · Postage &amp; Shipping</t>
  </si>
  <si>
    <t>8140 · Travel, Meeting, &amp; Meals Exp</t>
  </si>
  <si>
    <t>8160 · Insurance</t>
  </si>
  <si>
    <t>8180 · Printing &amp; Copying</t>
  </si>
  <si>
    <t>8190 · Software, Hardware &amp; Other IT</t>
  </si>
  <si>
    <t>8195 · Other Expenses &amp; Bank Fees</t>
  </si>
  <si>
    <t>8100 · Admin &amp; Overhead Expense - Other</t>
  </si>
  <si>
    <t>Total 8100 · Admin &amp; Overhead Expense</t>
  </si>
  <si>
    <t>8210 · Legal</t>
  </si>
  <si>
    <t>8210-10 · Legal - General</t>
  </si>
  <si>
    <t>8210-20 · Legal - Proactive</t>
  </si>
  <si>
    <t>8210 · Legal - Other</t>
  </si>
  <si>
    <t>Total 8210 · Legal</t>
  </si>
  <si>
    <t>8220 · Accounting</t>
  </si>
  <si>
    <t>8230 · FEC Filing &amp; Consulting</t>
  </si>
  <si>
    <t>8240 · Computer Services</t>
  </si>
  <si>
    <t>8200 · Professional Services - Other</t>
  </si>
  <si>
    <t>Total 8200 · Professional Services</t>
  </si>
  <si>
    <t>8400 · Capital Expenditures</t>
  </si>
  <si>
    <t>8500 · Loss (Gain) on Disposal</t>
  </si>
  <si>
    <t>9000 · Trf to Auth. FEC Comm - PACS</t>
  </si>
  <si>
    <t>9999 · Exp - Other Unclassified</t>
  </si>
  <si>
    <t>Total Expense</t>
  </si>
  <si>
    <t>Net Ordinary Revenue</t>
  </si>
  <si>
    <t>Other Revenue/Expense</t>
  </si>
  <si>
    <t>Other Revenue</t>
  </si>
  <si>
    <t>Other Expense</t>
  </si>
  <si>
    <t>Voided</t>
  </si>
  <si>
    <t>Total Other Expense</t>
  </si>
  <si>
    <t>Net Other Revenue</t>
  </si>
  <si>
    <t>Net Revenue or Loss</t>
  </si>
  <si>
    <t>Expenses</t>
  </si>
  <si>
    <t>Year Ending 2009 - 2013</t>
  </si>
  <si>
    <t>4103 · Libertarian Leadership School</t>
  </si>
  <si>
    <t>4104 · Presidential Campaign</t>
  </si>
  <si>
    <t>4106 · Campus Outreach</t>
  </si>
  <si>
    <t>4108 · Building Fund</t>
  </si>
  <si>
    <t>4109 - Radio Ad Project</t>
  </si>
  <si>
    <t>4105 · Drug War</t>
  </si>
  <si>
    <t>4107 · Raisers Edge</t>
  </si>
  <si>
    <t>4102 · Branding / Promotional Materials</t>
  </si>
  <si>
    <t>7102-10 · Branding</t>
  </si>
  <si>
    <t>7104-10 · Presidential Campaign</t>
  </si>
  <si>
    <t>7106-10 · Campus Outreach</t>
  </si>
  <si>
    <t>7108-10 · Building Fund Expense</t>
  </si>
  <si>
    <t>7109 - Radio Ad Project</t>
  </si>
  <si>
    <t>7110 - Legal Offense Fund Project</t>
  </si>
  <si>
    <t>DRAFT # 5</t>
  </si>
  <si>
    <t>8170 · Occupancy Expenses</t>
  </si>
  <si>
    <t>8170-10 · Mortgage Interest Expense</t>
  </si>
  <si>
    <t>8170-20 · Utilities Expense</t>
  </si>
  <si>
    <t>8170-30 · Property Taxes, Fees &amp; Permits</t>
  </si>
  <si>
    <t>8170-40 · Maintenance, Cleaning &amp; Repairs</t>
  </si>
  <si>
    <t>8170-50 · Property Insurance</t>
  </si>
  <si>
    <t>8170-60 · Assc Fees, Parking &amp; Storage</t>
  </si>
  <si>
    <t>8170-70 · Office Move Related Expenses</t>
  </si>
  <si>
    <t>Total 8170 · Occupancy Expenses</t>
  </si>
  <si>
    <t>4010-12 · DM - House Fundraising New Donor</t>
  </si>
  <si>
    <t>37-Building Fundraising Exp</t>
  </si>
  <si>
    <t>24-Convention Revenue</t>
  </si>
  <si>
    <t>8170 · Total Occupancy &amp; Related</t>
  </si>
  <si>
    <t>28-Member Communications Rev</t>
  </si>
  <si>
    <t>85-Member Communications Exp</t>
  </si>
  <si>
    <t>Unrestricted Operating Surplus (or Deficit)</t>
  </si>
  <si>
    <t>4101/04 · Campaigns/Candidates</t>
  </si>
  <si>
    <t>4375· Branding / Political Materials</t>
  </si>
  <si>
    <t>4360-40 · Candidate Support &amp; Training</t>
  </si>
  <si>
    <t>7375 · Branding/Political Materials</t>
  </si>
  <si>
    <t>8000 · Total Salary &amp; Related (See Worksheet)</t>
  </si>
  <si>
    <t>55-Brand / Political Materials</t>
  </si>
  <si>
    <t>26-Brand / Political Materials</t>
  </si>
  <si>
    <t>7360-40 · Candidate Support &amp; Training</t>
  </si>
  <si>
    <t>check (should be zero)</t>
  </si>
  <si>
    <t>Bequest Receivable</t>
  </si>
  <si>
    <t>4090 · Ballot Access / Voter Reg.</t>
  </si>
  <si>
    <t>27-BallotAccess Voter Reg Donations</t>
  </si>
  <si>
    <t>70-BallotAccess Voter Reg &amp; Related Exp</t>
  </si>
  <si>
    <t>Capital Exp &amp; Release to Pay Off Mort</t>
  </si>
  <si>
    <t>Number to Link to Acct Detail Worksheet:</t>
  </si>
  <si>
    <t>2017 Occupancy</t>
  </si>
  <si>
    <t>8100 · Admin &amp; Overhead Exp (See Worksheet)</t>
  </si>
  <si>
    <t>8200 · Professional Services (See Worksheet)</t>
  </si>
  <si>
    <t>4395 - Lpedia Hist Pres Revenue</t>
  </si>
  <si>
    <t>7395 - Lpedia Hist Preservation Exp</t>
  </si>
  <si>
    <t>OB Class</t>
  </si>
  <si>
    <t>ORANGE off worksheets DO NOT ENTER</t>
  </si>
  <si>
    <t>(Notes copied to bottom to show on printed copies)</t>
  </si>
  <si>
    <t>7360-10 · GOTV</t>
  </si>
  <si>
    <t># Major Other Letters (B/A &amp; BF)</t>
  </si>
  <si>
    <t>SEE ABOVE</t>
  </si>
  <si>
    <t>8300 · Depreciation Expense</t>
  </si>
  <si>
    <t>Net Surplus After Capt. Expenses &amp; Bequest</t>
  </si>
  <si>
    <t>Net Surplus after Capt. Expenses &amp; Bequest</t>
  </si>
  <si>
    <t>Bequests Receivable</t>
  </si>
  <si>
    <t>21-Donations *</t>
  </si>
  <si>
    <t>*</t>
  </si>
  <si>
    <t>Y/E Membership</t>
  </si>
  <si>
    <t>15,000 est YE</t>
  </si>
  <si>
    <t>4200-15 · Convention Fundraising Unrestricted</t>
  </si>
  <si>
    <t>2019 Actual Projected Exp</t>
  </si>
  <si>
    <t>Based on current trend</t>
  </si>
  <si>
    <t>Based on contracted auditor estimate</t>
  </si>
  <si>
    <t>Based on curr City Assesement</t>
  </si>
  <si>
    <t>Current trend  plus est esculation of management fee</t>
  </si>
  <si>
    <t xml:space="preserve">8140 · Travel, Meeting, &amp; Meals Exp </t>
  </si>
  <si>
    <t>Hyatt Regency Convention Bill</t>
  </si>
  <si>
    <t>Hyatt Regency Convention Bill Payable</t>
  </si>
  <si>
    <t>Based on current trend (note prior years included an audit adjustment not in curr year which reflects real #'s)</t>
  </si>
  <si>
    <t>58</t>
  </si>
  <si>
    <t>Based on mortg schedule</t>
  </si>
  <si>
    <t>ENTER DATA HERE for 2020</t>
  </si>
  <si>
    <t>2019 YTD * Extrapolated</t>
  </si>
  <si>
    <t>Ave 2016/2018</t>
  </si>
  <si>
    <t>Jan -Dec 18 *</t>
  </si>
  <si>
    <t>Jan-Dec 16 *</t>
  </si>
  <si>
    <t>2020 BUDGET</t>
  </si>
  <si>
    <t>$ Difference 20 v 16</t>
  </si>
  <si>
    <t>% Difference 20 v 16</t>
  </si>
  <si>
    <t>$ Difference 20 v 18</t>
  </si>
  <si>
    <t>% Difference 20 v 18</t>
  </si>
  <si>
    <t>4320 · Outreach &amp; Marketing</t>
  </si>
  <si>
    <t>7320 · Outreach &amp; Marketing Exp</t>
  </si>
  <si>
    <t>7330 · Media Relations &amp; PR</t>
  </si>
  <si>
    <t>Jan-Sep 19</t>
  </si>
  <si>
    <t>4040-10 · Tele Fund - General **</t>
  </si>
  <si>
    <t>**</t>
  </si>
  <si>
    <t>2018 4040-10 Tele Gen org $78,372k reclassified to $562 total with $77,810 put in 4010-10 House (from Lauren) - both rolls to -21 Gen Fundraising</t>
  </si>
  <si>
    <t>7200-15· Convention Expense - Travel/F&amp;B</t>
  </si>
  <si>
    <t>7200-20· Convention Fundraising Expense</t>
  </si>
  <si>
    <t># Issues LP News</t>
  </si>
  <si>
    <t>Capital Expenditures (non lease / non building related) ***</t>
  </si>
  <si>
    <t>***</t>
  </si>
  <si>
    <t>2018 Capt Exp included $25,125 reclassified from IT Expense to Capt Exp for CRM Software Development</t>
  </si>
  <si>
    <t># Major House Letters</t>
  </si>
  <si>
    <t>0 to Date</t>
  </si>
  <si>
    <t>3 to Date</t>
  </si>
  <si>
    <t>2 Est</t>
  </si>
  <si>
    <t xml:space="preserve"> ( a )</t>
  </si>
  <si>
    <t xml:space="preserve"> ( b )</t>
  </si>
  <si>
    <t>Based on 2016/18 ave to reflect election year norm</t>
  </si>
  <si>
    <t xml:space="preserve"> ( c )</t>
  </si>
  <si>
    <t>Reflects current trend</t>
  </si>
  <si>
    <t xml:space="preserve"> ( d )</t>
  </si>
  <si>
    <t>Based on 2016</t>
  </si>
  <si>
    <t xml:space="preserve"> ( e )</t>
  </si>
  <si>
    <t>4110 - Legal Action Fund</t>
  </si>
  <si>
    <t>Based on 2018 - 4 major house letters plus multiple small targeted letters</t>
  </si>
  <si>
    <t>To fund ongoing FEC lawsuit &amp; other legal actions</t>
  </si>
  <si>
    <t>2016 / 18 / 19 general donations above excludes any bequest related revenue</t>
  </si>
  <si>
    <t xml:space="preserve"> ( f )</t>
  </si>
  <si>
    <t>Per convention committee chair</t>
  </si>
  <si>
    <t>Per convention committee chair (cost split 50/50 between general / travel plus F&amp;B</t>
  </si>
  <si>
    <t>2019 Ext</t>
  </si>
  <si>
    <t>Based on Est 2020</t>
  </si>
  <si>
    <t>Based on IT Committee est of $6k a month</t>
  </si>
  <si>
    <t>Based on current trend plus $100 month increase (Paula has been charging us the same since 2012)</t>
  </si>
  <si>
    <t xml:space="preserve"> ( g )</t>
  </si>
  <si>
    <t>Blackbaud Wealth Finder Service</t>
  </si>
  <si>
    <t>Based on 2016/18 ave to reflect election year norm / expected membership growth</t>
  </si>
  <si>
    <t xml:space="preserve"> ( h )</t>
  </si>
  <si>
    <t>Based on 2 Major House Letters plus some other targeted mailings or LP News insert</t>
  </si>
  <si>
    <t xml:space="preserve"> ( I )</t>
  </si>
  <si>
    <t>Based on current cost as % of revenue</t>
  </si>
  <si>
    <t xml:space="preserve"> ( j )</t>
  </si>
  <si>
    <t>Est for donation forms, signage, donor vip premiums, processing fees, etc.</t>
  </si>
  <si>
    <t xml:space="preserve"> ( k )</t>
  </si>
  <si>
    <t>Per affiliate support committee chair - includes contractor &amp; related non capital crm costs</t>
  </si>
  <si>
    <t>Based on 2016/18 ave to reflect election year norm (includes contractor)</t>
  </si>
  <si>
    <t xml:space="preserve"> ( l )</t>
  </si>
  <si>
    <t>Based on 5 issues plus contractor expense</t>
  </si>
  <si>
    <t xml:space="preserve"> ( m )</t>
  </si>
  <si>
    <t>Branding expected to break even or make slight profit for election year</t>
  </si>
  <si>
    <t xml:space="preserve"> ( n )</t>
  </si>
  <si>
    <t xml:space="preserve"> ( o )</t>
  </si>
  <si>
    <t xml:space="preserve"> ( p )</t>
  </si>
  <si>
    <t>Per hist preservation committee chair</t>
  </si>
  <si>
    <t xml:space="preserve"> ( q )</t>
  </si>
  <si>
    <t>Based on 2018 - 4 major house letters plus multiple small targeted letters plus cost of new development contractors</t>
  </si>
  <si>
    <t xml:space="preserve"> ( r )</t>
  </si>
  <si>
    <t>Reflects current trend (includes contractors)</t>
  </si>
  <si>
    <t>Based on 2016/18 ave to reflect expected growth (includes contractors)</t>
  </si>
  <si>
    <t>Reflects current trend (includes contractor)</t>
  </si>
  <si>
    <t>See confidential salary worksheet (note some previously paid staff positions have been replaced by contractors &amp; are now charged to functional area)</t>
  </si>
  <si>
    <t xml:space="preserve"> ( s )</t>
  </si>
  <si>
    <t>See office admin worksheet</t>
  </si>
  <si>
    <t xml:space="preserve"> ( t )</t>
  </si>
  <si>
    <t>Actual expected</t>
  </si>
  <si>
    <t>Per ballot access committee chair</t>
  </si>
  <si>
    <t>Statement of Operations - 2020 Budget Rollup</t>
  </si>
  <si>
    <t>23-Board / ED Solicitation &amp; Major Gifts</t>
  </si>
  <si>
    <t>( u )</t>
  </si>
  <si>
    <t>Principal on mortgage payment schedule</t>
  </si>
  <si>
    <t xml:space="preserve"> = 2019 v 2020 growth factor</t>
  </si>
  <si>
    <t>( v )</t>
  </si>
  <si>
    <t>Based on current trend minus $70,000.</t>
  </si>
  <si>
    <t>Release to pay off Mortgage Principal</t>
  </si>
  <si>
    <t>2020 LNC BUDGET - (see Account Detail for breakdown  - DRAFT 3 10/26/19</t>
  </si>
  <si>
    <t>Campus organizing</t>
  </si>
  <si>
    <t>Per discussions with candidate support committee chair includes contractors, canvassers, training, &amp; support</t>
  </si>
  <si>
    <t>7380-50 - Voter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</si>
</sst>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\$* #,##0.00_);_(\$* \(#,##0.00\);_(\$* \-??_);_(@_)"/>
    <numFmt numFmtId="166" formatCode="&quot;$&quot;#,##0"/>
    <numFmt numFmtId="167" formatCode="0_);\(0\)"/>
    <numFmt numFmtId="168" formatCode="0.000%"/>
  </numFmts>
  <fonts count="35" x14ac:knownFonts="1">
    <font>
      <sz val="1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6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44"/>
      <name val="Arial"/>
      <family val="2"/>
    </font>
    <font>
      <i/>
      <sz val="8"/>
      <color indexed="40"/>
      <name val="Arial"/>
      <family val="2"/>
    </font>
    <font>
      <b/>
      <i/>
      <sz val="8"/>
      <name val="Arial"/>
      <family val="2"/>
    </font>
    <font>
      <b/>
      <i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i/>
      <sz val="7.5"/>
      <color indexed="8"/>
      <name val="Arial"/>
      <family val="2"/>
    </font>
    <font>
      <b/>
      <i/>
      <sz val="7.5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8" fillId="0" borderId="0" applyFill="0" applyBorder="0" applyAlignment="0" applyProtection="0"/>
    <xf numFmtId="9" fontId="18" fillId="0" borderId="0" applyFill="0" applyBorder="0" applyAlignment="0" applyProtection="0"/>
  </cellStyleXfs>
  <cellXfs count="192">
    <xf numFmtId="0" fontId="0" fillId="0" borderId="0" xfId="0"/>
    <xf numFmtId="0" fontId="4" fillId="2" borderId="0" xfId="0" applyFont="1" applyFill="1"/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/>
    <xf numFmtId="9" fontId="7" fillId="0" borderId="0" xfId="2" applyFont="1" applyFill="1" applyBorder="1" applyAlignment="1" applyProtection="1">
      <alignment horizontal="right"/>
    </xf>
    <xf numFmtId="0" fontId="5" fillId="0" borderId="0" xfId="0" applyNumberFormat="1" applyFont="1"/>
    <xf numFmtId="49" fontId="5" fillId="0" borderId="0" xfId="0" applyNumberFormat="1" applyFont="1" applyAlignment="1">
      <alignment horizontal="left" indent="2"/>
    </xf>
    <xf numFmtId="9" fontId="7" fillId="0" borderId="2" xfId="2" applyFont="1" applyFill="1" applyBorder="1" applyAlignment="1" applyProtection="1"/>
    <xf numFmtId="40" fontId="7" fillId="0" borderId="0" xfId="0" applyNumberFormat="1" applyFont="1" applyBorder="1"/>
    <xf numFmtId="9" fontId="7" fillId="0" borderId="0" xfId="2" applyFont="1" applyFill="1" applyBorder="1" applyAlignment="1" applyProtection="1"/>
    <xf numFmtId="49" fontId="5" fillId="0" borderId="0" xfId="0" applyNumberFormat="1" applyFont="1" applyFill="1"/>
    <xf numFmtId="0" fontId="0" fillId="0" borderId="0" xfId="0" applyNumberFormat="1"/>
    <xf numFmtId="49" fontId="0" fillId="0" borderId="0" xfId="0" applyNumberFormat="1"/>
    <xf numFmtId="0" fontId="12" fillId="0" borderId="0" xfId="0" applyFont="1"/>
    <xf numFmtId="49" fontId="5" fillId="3" borderId="0" xfId="0" applyNumberFormat="1" applyFont="1" applyFill="1" applyBorder="1" applyAlignment="1">
      <alignment horizontal="center"/>
    </xf>
    <xf numFmtId="166" fontId="0" fillId="0" borderId="0" xfId="0" applyNumberFormat="1"/>
    <xf numFmtId="0" fontId="0" fillId="0" borderId="0" xfId="0" applyBorder="1"/>
    <xf numFmtId="49" fontId="20" fillId="2" borderId="0" xfId="0" applyNumberFormat="1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49" fontId="4" fillId="2" borderId="0" xfId="0" applyNumberFormat="1" applyFont="1" applyFill="1" applyAlignment="1">
      <alignment horizontal="centerContinuous"/>
    </xf>
    <xf numFmtId="49" fontId="24" fillId="0" borderId="0" xfId="0" applyNumberFormat="1" applyFont="1"/>
    <xf numFmtId="40" fontId="23" fillId="0" borderId="0" xfId="0" applyNumberFormat="1" applyFont="1"/>
    <xf numFmtId="40" fontId="23" fillId="0" borderId="0" xfId="0" applyNumberFormat="1" applyFont="1" applyBorder="1"/>
    <xf numFmtId="49" fontId="7" fillId="0" borderId="0" xfId="0" applyNumberFormat="1" applyFont="1" applyFill="1" applyBorder="1" applyAlignment="1">
      <alignment horizontal="center"/>
    </xf>
    <xf numFmtId="49" fontId="1" fillId="0" borderId="0" xfId="0" applyNumberFormat="1" applyFont="1" applyAlignment="1" applyProtection="1">
      <alignment horizontal="centerContinuous"/>
      <protection locked="0"/>
    </xf>
    <xf numFmtId="49" fontId="5" fillId="0" borderId="0" xfId="0" applyNumberFormat="1" applyFont="1" applyAlignment="1" applyProtection="1">
      <alignment horizontal="centerContinuous"/>
      <protection locked="0"/>
    </xf>
    <xf numFmtId="49" fontId="0" fillId="0" borderId="0" xfId="0" applyNumberFormat="1" applyFill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49" fontId="2" fillId="0" borderId="0" xfId="0" applyNumberFormat="1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49" fontId="3" fillId="0" borderId="0" xfId="0" applyNumberFormat="1" applyFont="1" applyAlignment="1" applyProtection="1">
      <alignment horizontal="centerContinuous"/>
      <protection locked="0"/>
    </xf>
    <xf numFmtId="49" fontId="20" fillId="4" borderId="0" xfId="0" applyNumberFormat="1" applyFont="1" applyFill="1" applyAlignment="1" applyProtection="1">
      <alignment horizontal="centerContinuous"/>
      <protection locked="0"/>
    </xf>
    <xf numFmtId="49" fontId="21" fillId="4" borderId="0" xfId="0" applyNumberFormat="1" applyFont="1" applyFill="1" applyAlignment="1" applyProtection="1">
      <alignment horizontal="centerContinuous"/>
      <protection locked="0"/>
    </xf>
    <xf numFmtId="49" fontId="22" fillId="4" borderId="0" xfId="0" applyNumberFormat="1" applyFont="1" applyFill="1" applyAlignment="1" applyProtection="1">
      <alignment horizontal="centerContinuous"/>
      <protection locked="0"/>
    </xf>
    <xf numFmtId="0" fontId="22" fillId="4" borderId="0" xfId="0" applyFont="1" applyFill="1" applyAlignment="1" applyProtection="1">
      <alignment horizontal="centerContinuous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9" fontId="5" fillId="0" borderId="0" xfId="0" applyNumberFormat="1" applyFont="1" applyProtection="1">
      <protection locked="0"/>
    </xf>
    <xf numFmtId="40" fontId="7" fillId="0" borderId="0" xfId="0" applyNumberFormat="1" applyFont="1" applyFill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40" fontId="7" fillId="0" borderId="3" xfId="0" applyNumberFormat="1" applyFont="1" applyFill="1" applyBorder="1" applyProtection="1">
      <protection locked="0"/>
    </xf>
    <xf numFmtId="40" fontId="7" fillId="0" borderId="4" xfId="0" applyNumberFormat="1" applyFont="1" applyFill="1" applyBorder="1" applyProtection="1">
      <protection locked="0"/>
    </xf>
    <xf numFmtId="40" fontId="7" fillId="0" borderId="5" xfId="0" applyNumberFormat="1" applyFont="1" applyFill="1" applyBorder="1" applyProtection="1">
      <protection locked="0"/>
    </xf>
    <xf numFmtId="40" fontId="11" fillId="0" borderId="4" xfId="0" applyNumberFormat="1" applyFont="1" applyFill="1" applyBorder="1" applyProtection="1">
      <protection locked="0"/>
    </xf>
    <xf numFmtId="40" fontId="11" fillId="0" borderId="0" xfId="0" applyNumberFormat="1" applyFont="1" applyFill="1" applyProtection="1">
      <protection locked="0"/>
    </xf>
    <xf numFmtId="40" fontId="5" fillId="0" borderId="6" xfId="0" applyNumberFormat="1" applyFont="1" applyFill="1" applyBorder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Protection="1">
      <protection locked="0"/>
    </xf>
    <xf numFmtId="49" fontId="16" fillId="0" borderId="0" xfId="0" applyNumberFormat="1" applyFont="1" applyProtection="1">
      <protection locked="0"/>
    </xf>
    <xf numFmtId="0" fontId="16" fillId="0" borderId="0" xfId="0" applyNumberFormat="1" applyFont="1" applyProtection="1">
      <protection locked="0"/>
    </xf>
    <xf numFmtId="40" fontId="8" fillId="0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5" fillId="0" borderId="0" xfId="0" applyNumberFormat="1" applyFont="1" applyProtection="1">
      <protection locked="0"/>
    </xf>
    <xf numFmtId="0" fontId="0" fillId="0" borderId="0" xfId="0" applyNumberFormat="1" applyFill="1" applyProtection="1">
      <protection locked="0"/>
    </xf>
    <xf numFmtId="40" fontId="5" fillId="0" borderId="0" xfId="0" applyNumberFormat="1" applyFont="1" applyFill="1" applyBorder="1" applyProtection="1">
      <protection locked="0"/>
    </xf>
    <xf numFmtId="0" fontId="25" fillId="0" borderId="0" xfId="0" applyFont="1"/>
    <xf numFmtId="0" fontId="15" fillId="0" borderId="0" xfId="0" applyNumberFormat="1" applyFont="1" applyProtection="1">
      <protection locked="0"/>
    </xf>
    <xf numFmtId="41" fontId="0" fillId="0" borderId="0" xfId="0" applyNumberFormat="1" applyAlignment="1" applyProtection="1">
      <alignment horizontal="centerContinuous"/>
      <protection locked="0"/>
    </xf>
    <xf numFmtId="41" fontId="9" fillId="0" borderId="0" xfId="0" applyNumberFormat="1" applyFont="1" applyFill="1" applyAlignment="1" applyProtection="1">
      <alignment horizontal="centerContinuous"/>
      <protection locked="0"/>
    </xf>
    <xf numFmtId="41" fontId="22" fillId="4" borderId="0" xfId="0" applyNumberFormat="1" applyFont="1" applyFill="1" applyAlignment="1" applyProtection="1">
      <alignment horizontal="centerContinuous"/>
      <protection locked="0"/>
    </xf>
    <xf numFmtId="41" fontId="20" fillId="0" borderId="0" xfId="0" applyNumberFormat="1" applyFont="1" applyFill="1" applyAlignment="1" applyProtection="1">
      <alignment horizontal="centerContinuous"/>
      <protection locked="0"/>
    </xf>
    <xf numFmtId="41" fontId="0" fillId="0" borderId="0" xfId="0" applyNumberFormat="1" applyProtection="1">
      <protection locked="0"/>
    </xf>
    <xf numFmtId="41" fontId="5" fillId="0" borderId="1" xfId="0" applyNumberFormat="1" applyFont="1" applyBorder="1" applyAlignment="1" applyProtection="1">
      <alignment horizontal="center"/>
      <protection locked="0"/>
    </xf>
    <xf numFmtId="41" fontId="5" fillId="0" borderId="1" xfId="0" applyNumberFormat="1" applyFont="1" applyBorder="1" applyAlignment="1" applyProtection="1">
      <alignment horizontal="center" wrapText="1"/>
      <protection locked="0"/>
    </xf>
    <xf numFmtId="41" fontId="7" fillId="0" borderId="0" xfId="0" applyNumberFormat="1" applyFont="1" applyProtection="1">
      <protection locked="0"/>
    </xf>
    <xf numFmtId="41" fontId="7" fillId="0" borderId="0" xfId="0" applyNumberFormat="1" applyFont="1" applyFill="1" applyProtection="1">
      <protection locked="0"/>
    </xf>
    <xf numFmtId="41" fontId="5" fillId="4" borderId="0" xfId="0" applyNumberFormat="1" applyFont="1" applyFill="1" applyProtection="1">
      <protection locked="0"/>
    </xf>
    <xf numFmtId="41" fontId="7" fillId="0" borderId="3" xfId="0" applyNumberFormat="1" applyFont="1" applyBorder="1" applyProtection="1">
      <protection locked="0"/>
    </xf>
    <xf numFmtId="41" fontId="7" fillId="0" borderId="3" xfId="0" applyNumberFormat="1" applyFont="1" applyFill="1" applyBorder="1" applyProtection="1">
      <protection locked="0"/>
    </xf>
    <xf numFmtId="41" fontId="5" fillId="4" borderId="3" xfId="0" applyNumberFormat="1" applyFont="1" applyFill="1" applyBorder="1" applyProtection="1">
      <protection locked="0"/>
    </xf>
    <xf numFmtId="41" fontId="7" fillId="0" borderId="4" xfId="0" applyNumberFormat="1" applyFont="1" applyBorder="1" applyProtection="1">
      <protection locked="0"/>
    </xf>
    <xf numFmtId="41" fontId="7" fillId="0" borderId="4" xfId="0" applyNumberFormat="1" applyFont="1" applyFill="1" applyBorder="1" applyProtection="1">
      <protection locked="0"/>
    </xf>
    <xf numFmtId="41" fontId="5" fillId="4" borderId="4" xfId="0" applyNumberFormat="1" applyFont="1" applyFill="1" applyBorder="1" applyProtection="1">
      <protection locked="0"/>
    </xf>
    <xf numFmtId="41" fontId="7" fillId="0" borderId="0" xfId="0" applyNumberFormat="1" applyFont="1" applyBorder="1" applyProtection="1">
      <protection locked="0"/>
    </xf>
    <xf numFmtId="41" fontId="7" fillId="0" borderId="5" xfId="0" applyNumberFormat="1" applyFont="1" applyFill="1" applyBorder="1" applyProtection="1">
      <protection locked="0"/>
    </xf>
    <xf numFmtId="41" fontId="5" fillId="4" borderId="5" xfId="0" applyNumberFormat="1" applyFont="1" applyFill="1" applyBorder="1" applyProtection="1">
      <protection locked="0"/>
    </xf>
    <xf numFmtId="41" fontId="7" fillId="0" borderId="5" xfId="0" applyNumberFormat="1" applyFont="1" applyBorder="1" applyProtection="1">
      <protection locked="0"/>
    </xf>
    <xf numFmtId="41" fontId="5" fillId="0" borderId="6" xfId="0" applyNumberFormat="1" applyFont="1" applyFill="1" applyBorder="1" applyProtection="1">
      <protection locked="0"/>
    </xf>
    <xf numFmtId="41" fontId="5" fillId="4" borderId="6" xfId="0" applyNumberFormat="1" applyFont="1" applyFill="1" applyBorder="1" applyProtection="1">
      <protection locked="0"/>
    </xf>
    <xf numFmtId="41" fontId="16" fillId="0" borderId="0" xfId="0" applyNumberFormat="1" applyFont="1" applyProtection="1">
      <protection locked="0"/>
    </xf>
    <xf numFmtId="41" fontId="16" fillId="0" borderId="0" xfId="0" applyNumberFormat="1" applyFont="1" applyFill="1" applyProtection="1">
      <protection locked="0"/>
    </xf>
    <xf numFmtId="41" fontId="8" fillId="4" borderId="0" xfId="0" applyNumberFormat="1" applyFont="1" applyFill="1" applyProtection="1">
      <protection locked="0"/>
    </xf>
    <xf numFmtId="41" fontId="5" fillId="0" borderId="0" xfId="0" applyNumberFormat="1" applyFont="1" applyFill="1" applyBorder="1" applyProtection="1">
      <protection locked="0"/>
    </xf>
    <xf numFmtId="41" fontId="5" fillId="4" borderId="0" xfId="0" applyNumberFormat="1" applyFont="1" applyFill="1" applyBorder="1" applyProtection="1">
      <protection locked="0"/>
    </xf>
    <xf numFmtId="41" fontId="9" fillId="0" borderId="0" xfId="0" applyNumberFormat="1" applyFont="1" applyFill="1" applyProtection="1">
      <protection locked="0"/>
    </xf>
    <xf numFmtId="40" fontId="12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0" fontId="26" fillId="0" borderId="0" xfId="0" applyFont="1"/>
    <xf numFmtId="40" fontId="26" fillId="0" borderId="0" xfId="0" applyNumberFormat="1" applyFont="1"/>
    <xf numFmtId="40" fontId="7" fillId="0" borderId="0" xfId="0" applyNumberFormat="1" applyFon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Continuous"/>
      <protection locked="0"/>
    </xf>
    <xf numFmtId="49" fontId="22" fillId="4" borderId="0" xfId="0" applyNumberFormat="1" applyFont="1" applyFill="1" applyBorder="1" applyAlignment="1" applyProtection="1">
      <alignment horizontal="centerContinuous"/>
      <protection locked="0"/>
    </xf>
    <xf numFmtId="40" fontId="11" fillId="0" borderId="0" xfId="0" applyNumberFormat="1" applyFont="1" applyFill="1" applyBorder="1" applyProtection="1">
      <protection locked="0"/>
    </xf>
    <xf numFmtId="40" fontId="8" fillId="0" borderId="0" xfId="0" applyNumberFormat="1" applyFont="1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41" fontId="11" fillId="0" borderId="4" xfId="0" applyNumberFormat="1" applyFont="1" applyBorder="1" applyProtection="1"/>
    <xf numFmtId="41" fontId="11" fillId="0" borderId="0" xfId="0" applyNumberFormat="1" applyFont="1" applyProtection="1"/>
    <xf numFmtId="4" fontId="23" fillId="0" borderId="0" xfId="0" applyNumberFormat="1" applyFont="1"/>
    <xf numFmtId="4" fontId="24" fillId="0" borderId="0" xfId="0" applyNumberFormat="1" applyFont="1"/>
    <xf numFmtId="4" fontId="0" fillId="0" borderId="0" xfId="0" applyNumberFormat="1"/>
    <xf numFmtId="4" fontId="13" fillId="0" borderId="0" xfId="0" applyNumberFormat="1" applyFont="1" applyAlignment="1">
      <alignment horizontal="right"/>
    </xf>
    <xf numFmtId="4" fontId="14" fillId="0" borderId="0" xfId="1" applyNumberFormat="1" applyFont="1" applyFill="1" applyBorder="1" applyAlignment="1" applyProtection="1"/>
    <xf numFmtId="0" fontId="12" fillId="0" borderId="0" xfId="0" applyNumberFormat="1" applyFont="1" applyFill="1" applyProtection="1">
      <protection locked="0"/>
    </xf>
    <xf numFmtId="0" fontId="12" fillId="0" borderId="0" xfId="0" applyNumberFormat="1" applyFont="1" applyFill="1" applyBorder="1" applyProtection="1"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locked="0"/>
    </xf>
    <xf numFmtId="41" fontId="8" fillId="0" borderId="0" xfId="0" applyNumberFormat="1" applyFont="1" applyProtection="1">
      <protection locked="0"/>
    </xf>
    <xf numFmtId="0" fontId="19" fillId="0" borderId="7" xfId="0" applyFont="1" applyBorder="1" applyAlignment="1" applyProtection="1">
      <alignment horizontal="center" wrapText="1"/>
      <protection locked="0"/>
    </xf>
    <xf numFmtId="49" fontId="16" fillId="0" borderId="0" xfId="0" applyNumberFormat="1" applyFont="1" applyFill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1" fontId="10" fillId="5" borderId="0" xfId="0" applyNumberFormat="1" applyFont="1" applyFill="1" applyBorder="1" applyProtection="1"/>
    <xf numFmtId="41" fontId="10" fillId="5" borderId="0" xfId="0" applyNumberFormat="1" applyFont="1" applyFill="1" applyProtection="1"/>
    <xf numFmtId="41" fontId="5" fillId="5" borderId="4" xfId="0" applyNumberFormat="1" applyFont="1" applyFill="1" applyBorder="1" applyProtection="1">
      <protection locked="0"/>
    </xf>
    <xf numFmtId="41" fontId="28" fillId="5" borderId="0" xfId="0" applyNumberFormat="1" applyFont="1" applyFill="1" applyAlignment="1" applyProtection="1">
      <alignment horizontal="center" wrapText="1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167" fontId="7" fillId="4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Protection="1">
      <protection locked="0"/>
    </xf>
    <xf numFmtId="0" fontId="8" fillId="0" borderId="0" xfId="0" applyNumberFormat="1" applyFont="1" applyFill="1" applyBorder="1" applyProtection="1">
      <protection locked="0"/>
    </xf>
    <xf numFmtId="41" fontId="27" fillId="0" borderId="0" xfId="0" applyNumberFormat="1" applyFont="1" applyFill="1" applyProtection="1">
      <protection locked="0"/>
    </xf>
    <xf numFmtId="39" fontId="10" fillId="5" borderId="0" xfId="0" applyNumberFormat="1" applyFont="1" applyFill="1" applyProtection="1"/>
    <xf numFmtId="3" fontId="23" fillId="0" borderId="0" xfId="0" applyNumberFormat="1" applyFont="1"/>
    <xf numFmtId="3" fontId="23" fillId="0" borderId="8" xfId="0" applyNumberFormat="1" applyFont="1" applyBorder="1"/>
    <xf numFmtId="3" fontId="23" fillId="0" borderId="9" xfId="0" applyNumberFormat="1" applyFont="1" applyBorder="1"/>
    <xf numFmtId="3" fontId="0" fillId="0" borderId="0" xfId="0" applyNumberFormat="1"/>
    <xf numFmtId="3" fontId="13" fillId="0" borderId="0" xfId="0" applyNumberFormat="1" applyFont="1" applyAlignment="1">
      <alignment horizontal="right"/>
    </xf>
    <xf numFmtId="3" fontId="14" fillId="6" borderId="0" xfId="1" applyNumberFormat="1" applyFont="1" applyFill="1" applyBorder="1" applyAlignment="1" applyProtection="1"/>
    <xf numFmtId="3" fontId="7" fillId="5" borderId="0" xfId="0" applyNumberFormat="1" applyFont="1" applyFill="1"/>
    <xf numFmtId="3" fontId="5" fillId="7" borderId="0" xfId="0" applyNumberFormat="1" applyFont="1" applyFill="1"/>
    <xf numFmtId="3" fontId="7" fillId="8" borderId="0" xfId="0" applyNumberFormat="1" applyFont="1" applyFill="1"/>
    <xf numFmtId="3" fontId="5" fillId="8" borderId="0" xfId="0" applyNumberFormat="1" applyFont="1" applyFill="1"/>
    <xf numFmtId="3" fontId="7" fillId="0" borderId="0" xfId="0" applyNumberFormat="1" applyFont="1"/>
    <xf numFmtId="3" fontId="7" fillId="0" borderId="0" xfId="0" applyNumberFormat="1" applyFont="1" applyFill="1"/>
    <xf numFmtId="0" fontId="27" fillId="0" borderId="0" xfId="0" applyFont="1" applyProtection="1">
      <protection locked="0"/>
    </xf>
    <xf numFmtId="0" fontId="27" fillId="0" borderId="0" xfId="0" applyNumberFormat="1" applyFont="1" applyFill="1" applyProtection="1">
      <protection locked="0"/>
    </xf>
    <xf numFmtId="0" fontId="27" fillId="0" borderId="0" xfId="0" applyNumberFormat="1" applyFont="1" applyFill="1" applyBorder="1" applyProtection="1">
      <protection locked="0"/>
    </xf>
    <xf numFmtId="0" fontId="27" fillId="0" borderId="0" xfId="0" applyFont="1" applyAlignment="1" applyProtection="1">
      <alignment horizontal="left"/>
      <protection locked="0"/>
    </xf>
    <xf numFmtId="3" fontId="5" fillId="9" borderId="0" xfId="0" applyNumberFormat="1" applyFont="1" applyFill="1"/>
    <xf numFmtId="3" fontId="7" fillId="0" borderId="2" xfId="0" applyNumberFormat="1" applyFont="1" applyBorder="1"/>
    <xf numFmtId="3" fontId="5" fillId="9" borderId="2" xfId="0" applyNumberFormat="1" applyFont="1" applyFill="1" applyBorder="1"/>
    <xf numFmtId="3" fontId="7" fillId="0" borderId="0" xfId="0" applyNumberFormat="1" applyFont="1" applyBorder="1"/>
    <xf numFmtId="3" fontId="5" fillId="9" borderId="0" xfId="0" applyNumberFormat="1" applyFont="1" applyFill="1" applyBorder="1"/>
    <xf numFmtId="3" fontId="7" fillId="0" borderId="0" xfId="0" applyNumberFormat="1" applyFont="1" applyFill="1" applyBorder="1"/>
    <xf numFmtId="3" fontId="9" fillId="9" borderId="0" xfId="0" applyNumberFormat="1" applyFont="1" applyFill="1"/>
    <xf numFmtId="3" fontId="12" fillId="0" borderId="0" xfId="0" applyNumberFormat="1" applyFont="1"/>
    <xf numFmtId="3" fontId="12" fillId="9" borderId="0" xfId="0" applyNumberFormat="1" applyFont="1" applyFill="1"/>
    <xf numFmtId="3" fontId="6" fillId="0" borderId="0" xfId="0" applyNumberFormat="1" applyFont="1"/>
    <xf numFmtId="3" fontId="6" fillId="0" borderId="4" xfId="0" applyNumberFormat="1" applyFont="1" applyBorder="1"/>
    <xf numFmtId="37" fontId="7" fillId="0" borderId="0" xfId="0" applyNumberFormat="1" applyFont="1" applyFill="1" applyBorder="1" applyAlignment="1" applyProtection="1">
      <alignment horizontal="center"/>
      <protection locked="0"/>
    </xf>
    <xf numFmtId="37" fontId="7" fillId="4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protection locked="0"/>
    </xf>
    <xf numFmtId="0" fontId="30" fillId="0" borderId="0" xfId="0" applyFont="1" applyAlignment="1" applyProtection="1">
      <protection locked="0"/>
    </xf>
    <xf numFmtId="0" fontId="32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Alignment="1" applyProtection="1">
      <protection locked="0"/>
    </xf>
    <xf numFmtId="0" fontId="30" fillId="0" borderId="0" xfId="0" applyFont="1" applyAlignment="1" applyProtection="1">
      <alignment horizontal="left"/>
      <protection locked="0"/>
    </xf>
    <xf numFmtId="41" fontId="30" fillId="0" borderId="0" xfId="0" applyNumberFormat="1" applyFont="1" applyAlignment="1" applyProtection="1">
      <protection locked="0"/>
    </xf>
    <xf numFmtId="43" fontId="30" fillId="0" borderId="0" xfId="0" applyNumberFormat="1" applyFont="1" applyAlignment="1" applyProtection="1">
      <protection locked="0"/>
    </xf>
    <xf numFmtId="40" fontId="30" fillId="0" borderId="0" xfId="0" applyNumberFormat="1" applyFont="1" applyAlignment="1" applyProtection="1">
      <protection locked="0"/>
    </xf>
    <xf numFmtId="0" fontId="34" fillId="0" borderId="0" xfId="0" applyFont="1" applyAlignment="1" applyProtection="1">
      <protection locked="0"/>
    </xf>
    <xf numFmtId="0" fontId="28" fillId="0" borderId="0" xfId="0" applyFont="1" applyAlignment="1" applyProtection="1">
      <protection locked="0"/>
    </xf>
    <xf numFmtId="0" fontId="29" fillId="0" borderId="0" xfId="0" applyFont="1" applyAlignment="1" applyProtection="1">
      <alignment horizontal="center"/>
      <protection locked="0"/>
    </xf>
    <xf numFmtId="0" fontId="31" fillId="4" borderId="0" xfId="0" applyFont="1" applyFill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40" fontId="30" fillId="0" borderId="0" xfId="0" applyNumberFormat="1" applyFont="1" applyAlignment="1" applyProtection="1">
      <alignment horizontal="center"/>
      <protection locked="0"/>
    </xf>
    <xf numFmtId="49" fontId="33" fillId="0" borderId="0" xfId="0" applyNumberFormat="1" applyFont="1" applyFill="1" applyAlignment="1" applyProtection="1">
      <alignment horizontal="center"/>
      <protection locked="0"/>
    </xf>
    <xf numFmtId="0" fontId="34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right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168" fontId="18" fillId="0" borderId="0" xfId="2" applyNumberFormat="1" applyFill="1" applyProtection="1">
      <protection locked="0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49" fontId="5" fillId="0" borderId="0" xfId="0" applyNumberFormat="1" applyFont="1" applyFill="1" applyBorder="1" applyAlignment="1" applyProtection="1">
      <alignment horizontal="center" wrapText="1"/>
      <protection locked="0"/>
    </xf>
    <xf numFmtId="41" fontId="5" fillId="0" borderId="0" xfId="0" applyNumberFormat="1" applyFont="1" applyFill="1" applyBorder="1" applyAlignment="1" applyProtection="1">
      <alignment horizontal="center" wrapText="1"/>
      <protection locked="0"/>
    </xf>
    <xf numFmtId="41" fontId="5" fillId="0" borderId="1" xfId="0" applyNumberFormat="1" applyFont="1" applyFill="1" applyBorder="1" applyAlignment="1" applyProtection="1">
      <alignment horizontal="center" wrapText="1"/>
      <protection locked="0"/>
    </xf>
    <xf numFmtId="41" fontId="5" fillId="4" borderId="0" xfId="0" applyNumberFormat="1" applyFont="1" applyFill="1" applyBorder="1" applyAlignment="1" applyProtection="1">
      <alignment horizontal="center" wrapText="1"/>
      <protection locked="0"/>
    </xf>
    <xf numFmtId="41" fontId="0" fillId="0" borderId="1" xfId="0" applyNumberFormat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3" sqref="A13:B23"/>
    </sheetView>
  </sheetViews>
  <sheetFormatPr defaultRowHeight="12.75" x14ac:dyDescent="0.2"/>
  <cols>
    <col min="1" max="1" width="36.28515625" bestFit="1" customWidth="1"/>
    <col min="2" max="2" width="10.7109375" style="22" bestFit="1" customWidth="1"/>
  </cols>
  <sheetData>
    <row r="1" spans="1:2" x14ac:dyDescent="0.2">
      <c r="A1" t="s">
        <v>29</v>
      </c>
    </row>
    <row r="2" spans="1:2" x14ac:dyDescent="0.2">
      <c r="A2" s="19" t="str">
        <f>'Operating Budget -NO DATA ENTRY'!C7</f>
        <v>20-Membership Dues</v>
      </c>
      <c r="B2" s="22">
        <f>'Operating Budget -NO DATA ENTRY'!I7</f>
        <v>727500</v>
      </c>
    </row>
    <row r="3" spans="1:2" x14ac:dyDescent="0.2">
      <c r="A3" s="19" t="str">
        <f>'Operating Budget -NO DATA ENTRY'!C9</f>
        <v>22-Recurring Gifts</v>
      </c>
      <c r="B3" s="22">
        <f>'Operating Budget -NO DATA ENTRY'!I9</f>
        <v>367100</v>
      </c>
    </row>
    <row r="4" spans="1:2" x14ac:dyDescent="0.2">
      <c r="A4" s="19" t="str">
        <f>'Operating Budget -NO DATA ENTRY'!C8</f>
        <v>21-Donations *</v>
      </c>
      <c r="B4" s="22">
        <f>'Operating Budget -NO DATA ENTRY'!I8</f>
        <v>413400</v>
      </c>
    </row>
    <row r="5" spans="1:2" x14ac:dyDescent="0.2">
      <c r="A5" s="19" t="str">
        <f>'Operating Budget -NO DATA ENTRY'!C10</f>
        <v>23-Board / ED Solicitation &amp; Major Gifts</v>
      </c>
      <c r="B5" s="22">
        <f>'Operating Budget -NO DATA ENTRY'!I10</f>
        <v>96700</v>
      </c>
    </row>
    <row r="6" spans="1:2" x14ac:dyDescent="0.2">
      <c r="A6" s="19" t="str">
        <f>'Operating Budget -NO DATA ENTRY'!C15</f>
        <v>28-Member Communications Rev</v>
      </c>
      <c r="B6" s="22">
        <f>'Operating Budget -NO DATA ENTRY'!I15</f>
        <v>0</v>
      </c>
    </row>
    <row r="7" spans="1:2" x14ac:dyDescent="0.2">
      <c r="A7" s="19" t="str">
        <f>'Operating Budget -NO DATA ENTRY'!C11</f>
        <v>24-Convention Revenue</v>
      </c>
      <c r="B7" s="22">
        <f>'Operating Budget -NO DATA ENTRY'!I11</f>
        <v>352000</v>
      </c>
    </row>
    <row r="8" spans="1:2" x14ac:dyDescent="0.2">
      <c r="A8" s="19" t="str">
        <f>'Operating Budget -NO DATA ENTRY'!C12</f>
        <v>25-Project Program Revenue</v>
      </c>
      <c r="B8" s="22">
        <f>'Operating Budget -NO DATA ENTRY'!I12</f>
        <v>44900</v>
      </c>
    </row>
    <row r="9" spans="1:2" x14ac:dyDescent="0.2">
      <c r="A9" s="19" t="str">
        <f>'Operating Budget -NO DATA ENTRY'!C13</f>
        <v>26-Brand / Political Materials</v>
      </c>
      <c r="B9" s="22">
        <f>'Operating Budget -NO DATA ENTRY'!I13</f>
        <v>192000</v>
      </c>
    </row>
    <row r="10" spans="1:2" x14ac:dyDescent="0.2">
      <c r="A10" s="19" t="str">
        <f>'Operating Budget -NO DATA ENTRY'!C14</f>
        <v>27-BallotAccess Voter Reg Donations</v>
      </c>
      <c r="B10" s="22">
        <f>'Operating Budget -NO DATA ENTRY'!I14</f>
        <v>149800</v>
      </c>
    </row>
    <row r="11" spans="1:2" x14ac:dyDescent="0.2">
      <c r="A11" s="19" t="str">
        <f>'Operating Budget -NO DATA ENTRY'!C16</f>
        <v>29-Other Revenue &amp; Offsets</v>
      </c>
      <c r="B11" s="22">
        <f>'Operating Budget -NO DATA ENTRY'!I16</f>
        <v>0</v>
      </c>
    </row>
    <row r="13" spans="1:2" x14ac:dyDescent="0.2">
      <c r="A13" t="s">
        <v>187</v>
      </c>
    </row>
    <row r="14" spans="1:2" x14ac:dyDescent="0.2">
      <c r="A14" s="19" t="str">
        <f>'Operating Budget -NO DATA ENTRY'!C31</f>
        <v>45-Compensation</v>
      </c>
      <c r="B14" s="22">
        <f>'Operating Budget -NO DATA ENTRY'!I31</f>
        <v>418000</v>
      </c>
    </row>
    <row r="15" spans="1:2" x14ac:dyDescent="0.2">
      <c r="A15" s="19" t="str">
        <f>'Operating Budget -NO DATA ENTRY'!C30</f>
        <v>40-Adminstrative Costs</v>
      </c>
      <c r="B15" s="22">
        <f>'Operating Budget -NO DATA ENTRY'!I30</f>
        <v>326200</v>
      </c>
    </row>
    <row r="16" spans="1:2" x14ac:dyDescent="0.2">
      <c r="A16" s="19" t="str">
        <f>'Operating Budget -NO DATA ENTRY'!C19</f>
        <v>32-Fundraising Costs</v>
      </c>
      <c r="B16" s="22">
        <f>'Operating Budget -NO DATA ENTRY'!I19</f>
        <v>332300</v>
      </c>
    </row>
    <row r="17" spans="1:2" x14ac:dyDescent="0.2">
      <c r="A17" s="19" t="str">
        <f>'Operating Budget -NO DATA ENTRY'!C20</f>
        <v>33-Membership Fundraising Costs</v>
      </c>
      <c r="B17" s="22">
        <f>'Operating Budget -NO DATA ENTRY'!I20</f>
        <v>161400</v>
      </c>
    </row>
    <row r="18" spans="1:2" x14ac:dyDescent="0.2">
      <c r="A18" s="19" t="str">
        <f>'Operating Budget -NO DATA ENTRY'!C39</f>
        <v>85-Member Communications Exp</v>
      </c>
      <c r="B18" s="22">
        <f>'Operating Budget -NO DATA ENTRY'!I39</f>
        <v>54000</v>
      </c>
    </row>
    <row r="19" spans="1:2" x14ac:dyDescent="0.2">
      <c r="A19" s="19" t="str">
        <f>'Operating Budget -NO DATA ENTRY'!C40</f>
        <v>88-Outreach</v>
      </c>
      <c r="B19" s="22">
        <f>'Operating Budget -NO DATA ENTRY'!I40</f>
        <v>8500</v>
      </c>
    </row>
    <row r="20" spans="1:2" x14ac:dyDescent="0.2">
      <c r="A20" s="19" t="str">
        <f>'Operating Budget -NO DATA ENTRY'!C32</f>
        <v>50-Affiliate Support</v>
      </c>
      <c r="B20" s="22">
        <f>'Operating Budget -NO DATA ENTRY'!I32</f>
        <v>90000</v>
      </c>
    </row>
    <row r="21" spans="1:2" x14ac:dyDescent="0.2">
      <c r="A21" s="19" t="str">
        <f>'Operating Budget -NO DATA ENTRY'!C37</f>
        <v>75-Litigation</v>
      </c>
      <c r="B21" s="22">
        <f>'Operating Budget -NO DATA ENTRY'!I37</f>
        <v>15900</v>
      </c>
    </row>
    <row r="22" spans="1:2" x14ac:dyDescent="0.2">
      <c r="A22" s="19" t="str">
        <f>'Operating Budget -NO DATA ENTRY'!C33</f>
        <v>55-Brand / Political Materials</v>
      </c>
      <c r="B22" s="22">
        <f>'Operating Budget -NO DATA ENTRY'!I33</f>
        <v>192000</v>
      </c>
    </row>
    <row r="23" spans="1:2" x14ac:dyDescent="0.2">
      <c r="A23" s="19" t="str">
        <f>'Operating Budget -NO DATA ENTRY'!C38</f>
        <v>80-Media</v>
      </c>
      <c r="B23" s="22">
        <f>'Operating Budget -NO DATA ENTRY'!I38</f>
        <v>18200</v>
      </c>
    </row>
    <row r="24" spans="1:2" x14ac:dyDescent="0.2">
      <c r="A24" s="19" t="str">
        <f>'Operating Budget -NO DATA ENTRY'!C21</f>
        <v>34-Direct Costs</v>
      </c>
      <c r="B24" s="22">
        <f>'Operating Budget -NO DATA ENTRY'!I21</f>
        <v>0</v>
      </c>
    </row>
    <row r="25" spans="1:2" x14ac:dyDescent="0.2">
      <c r="A25" s="19" t="str">
        <f>'Operating Budget -NO DATA ENTRY'!C22</f>
        <v>35-Convention</v>
      </c>
      <c r="B25" s="22">
        <f>'Operating Budget -NO DATA ENTRY'!I22</f>
        <v>352000</v>
      </c>
    </row>
    <row r="26" spans="1:2" x14ac:dyDescent="0.2">
      <c r="A26" s="19" t="str">
        <f>'Operating Budget -NO DATA ENTRY'!C34</f>
        <v>58-Campus Outreach</v>
      </c>
      <c r="B26" s="22">
        <f>'Operating Budget -NO DATA ENTRY'!I34</f>
        <v>10000</v>
      </c>
    </row>
    <row r="27" spans="1:2" x14ac:dyDescent="0.2">
      <c r="A27" s="19" t="str">
        <f>'Operating Budget -NO DATA ENTRY'!C35</f>
        <v>60-Candidate, Campaign &amp; Initiatives</v>
      </c>
      <c r="B27" s="22">
        <f>'Operating Budget -NO DATA ENTRY'!I35</f>
        <v>102400</v>
      </c>
    </row>
    <row r="28" spans="1:2" x14ac:dyDescent="0.2">
      <c r="A28" s="19" t="str">
        <f>'Operating Budget -NO DATA ENTRY'!C36</f>
        <v>70-BallotAccess Voter Reg &amp; Related Exp</v>
      </c>
      <c r="B28" s="22">
        <f>'Operating Budget -NO DATA ENTRY'!I36</f>
        <v>250000</v>
      </c>
    </row>
    <row r="29" spans="1:2" x14ac:dyDescent="0.2">
      <c r="A29" s="19" t="str">
        <f>'Operating Budget -NO DATA ENTRY'!C41</f>
        <v>90-Project Program Other</v>
      </c>
      <c r="B29" s="22">
        <f>'Operating Budget -NO DATA ENTRY'!I41</f>
        <v>2500</v>
      </c>
    </row>
  </sheetData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="110" zoomScaleNormal="120" workbookViewId="0">
      <pane xSplit="3" ySplit="5" topLeftCell="D6" activePane="bottomRight" state="frozen"/>
      <selection pane="topRight" activeCell="J1" sqref="J1"/>
      <selection pane="bottomLeft" activeCell="A26" sqref="A26"/>
      <selection pane="bottomRight" activeCell="I49" sqref="I49"/>
    </sheetView>
  </sheetViews>
  <sheetFormatPr defaultRowHeight="12.75" x14ac:dyDescent="0.2"/>
  <cols>
    <col min="1" max="2" width="1.28515625" customWidth="1"/>
    <col min="3" max="3" width="33.28515625" customWidth="1"/>
    <col min="4" max="5" width="11.5703125" customWidth="1"/>
    <col min="6" max="6" width="11.5703125" hidden="1" customWidth="1"/>
    <col min="7" max="9" width="11.5703125" customWidth="1"/>
    <col min="10" max="10" width="1.42578125" customWidth="1"/>
    <col min="11" max="11" width="11.28515625" bestFit="1" customWidth="1"/>
    <col min="12" max="12" width="10.5703125" customWidth="1"/>
    <col min="13" max="13" width="1.42578125" customWidth="1"/>
    <col min="14" max="14" width="10.85546875" customWidth="1"/>
    <col min="15" max="15" width="10.5703125" customWidth="1"/>
  </cols>
  <sheetData>
    <row r="1" spans="1:15" ht="15.75" x14ac:dyDescent="0.25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ht="18" x14ac:dyDescent="0.25">
      <c r="A2" s="182" t="s">
        <v>344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</row>
    <row r="3" spans="1:15" s="1" customFormat="1" x14ac:dyDescent="0.2">
      <c r="A3" s="24" t="str">
        <f>'Acct Detail ENTER DATA HERE'!A2</f>
        <v>2020 LNC BUDGET - (see Account Detail for breakdown  - DRAFT 3 10/26/19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5"/>
      <c r="N3" s="26"/>
      <c r="O3" s="26"/>
    </row>
    <row r="4" spans="1:15" ht="6" customHeight="1" thickBot="1" x14ac:dyDescent="0.25">
      <c r="D4" s="2"/>
      <c r="E4" s="2"/>
      <c r="F4" s="2"/>
      <c r="G4" s="183" t="str">
        <f>'Acct Detail ENTER DATA HERE'!$K$5</f>
        <v>2019 YTD * Extrapolated</v>
      </c>
      <c r="H4" s="184" t="str">
        <f>'Acct Detail ENTER DATA HERE'!L6</f>
        <v>Ave 2016/2018</v>
      </c>
      <c r="I4" s="185" t="s">
        <v>271</v>
      </c>
      <c r="K4" s="3"/>
      <c r="L4" s="2"/>
      <c r="N4" s="3"/>
      <c r="O4" s="2"/>
    </row>
    <row r="5" spans="1:15" ht="27.95" customHeight="1" thickTop="1" thickBot="1" x14ac:dyDescent="0.25">
      <c r="A5" s="4"/>
      <c r="B5" s="4"/>
      <c r="C5" s="4"/>
      <c r="D5" s="5" t="str">
        <f>'Acct Detail ENTER DATA HERE'!H6</f>
        <v>Jan-Dec 16 *</v>
      </c>
      <c r="E5" s="5" t="str">
        <f>'Acct Detail ENTER DATA HERE'!I6</f>
        <v>Jan -Dec 18 *</v>
      </c>
      <c r="F5" s="6" t="str">
        <f>'Acct Detail ENTER DATA HERE'!J6</f>
        <v>Jan-Sep 19</v>
      </c>
      <c r="G5" s="184"/>
      <c r="H5" s="184" t="e">
        <f>'Acct Detail ENTER DATA HERE'!#REF!</f>
        <v>#REF!</v>
      </c>
      <c r="I5" s="185"/>
      <c r="K5" s="5" t="s">
        <v>272</v>
      </c>
      <c r="L5" s="5" t="s">
        <v>273</v>
      </c>
      <c r="N5" s="5" t="s">
        <v>274</v>
      </c>
      <c r="O5" s="5" t="s">
        <v>275</v>
      </c>
    </row>
    <row r="6" spans="1:15" ht="13.5" thickTop="1" x14ac:dyDescent="0.2">
      <c r="A6" s="4"/>
      <c r="B6" s="7" t="s">
        <v>1</v>
      </c>
      <c r="C6" s="4"/>
      <c r="D6" s="8"/>
      <c r="E6" s="8"/>
      <c r="F6" s="8"/>
      <c r="G6" s="9"/>
      <c r="H6" s="30"/>
      <c r="I6" s="21"/>
      <c r="K6" s="8"/>
      <c r="L6" s="8"/>
      <c r="N6" s="8"/>
      <c r="O6" s="8"/>
    </row>
    <row r="7" spans="1:15" x14ac:dyDescent="0.2">
      <c r="A7" s="10"/>
      <c r="B7" s="7"/>
      <c r="C7" s="10" t="s">
        <v>2</v>
      </c>
      <c r="D7" s="143">
        <f>+'Acct Detail ENTER DATA HERE'!H12+'Acct Detail ENTER DATA HERE'!H13+'Acct Detail ENTER DATA HERE'!H14+'Acct Detail ENTER DATA HERE'!H15+'Acct Detail ENTER DATA HERE'!H26+'Acct Detail ENTER DATA HERE'!H27+'Acct Detail ENTER DATA HERE'!H32+'Acct Detail ENTER DATA HERE'!H33+0</f>
        <v>807450</v>
      </c>
      <c r="E7" s="143">
        <f>+'Acct Detail ENTER DATA HERE'!I12+'Acct Detail ENTER DATA HERE'!I13+'Acct Detail ENTER DATA HERE'!I14+'Acct Detail ENTER DATA HERE'!I15+'Acct Detail ENTER DATA HERE'!I26+'Acct Detail ENTER DATA HERE'!I27+'Acct Detail ENTER DATA HERE'!I32+'Acct Detail ENTER DATA HERE'!I33+0</f>
        <v>583298</v>
      </c>
      <c r="F7" s="143">
        <f>+'Acct Detail ENTER DATA HERE'!J12+'Acct Detail ENTER DATA HERE'!J13+'Acct Detail ENTER DATA HERE'!J14+'Acct Detail ENTER DATA HERE'!J15+'Acct Detail ENTER DATA HERE'!J26+'Acct Detail ENTER DATA HERE'!J27+'Acct Detail ENTER DATA HERE'!J32+'Acct Detail ENTER DATA HERE'!J33+0</f>
        <v>432251</v>
      </c>
      <c r="G7" s="143">
        <f>+'Acct Detail ENTER DATA HERE'!K12+'Acct Detail ENTER DATA HERE'!K13+'Acct Detail ENTER DATA HERE'!K14+'Acct Detail ENTER DATA HERE'!K15+'Acct Detail ENTER DATA HERE'!K26+'Acct Detail ENTER DATA HERE'!K27+'Acct Detail ENTER DATA HERE'!K32+'Acct Detail ENTER DATA HERE'!K33+0</f>
        <v>576334.66666666674</v>
      </c>
      <c r="H7" s="143">
        <f>+'Acct Detail ENTER DATA HERE'!L12+'Acct Detail ENTER DATA HERE'!L13+'Acct Detail ENTER DATA HERE'!L14+'Acct Detail ENTER DATA HERE'!L15+'Acct Detail ENTER DATA HERE'!L26+'Acct Detail ENTER DATA HERE'!L27+'Acct Detail ENTER DATA HERE'!L32+'Acct Detail ENTER DATA HERE'!L33+0</f>
        <v>695374</v>
      </c>
      <c r="I7" s="148">
        <f>+'Acct Detail ENTER DATA HERE'!M12+'Acct Detail ENTER DATA HERE'!M13+'Acct Detail ENTER DATA HERE'!M14+'Acct Detail ENTER DATA HERE'!M15+'Acct Detail ENTER DATA HERE'!M26+'Acct Detail ENTER DATA HERE'!M27+'Acct Detail ENTER DATA HERE'!M32+'Acct Detail ENTER DATA HERE'!M33+0</f>
        <v>727500</v>
      </c>
      <c r="J7" s="135"/>
      <c r="K7" s="142">
        <f t="shared" ref="K7:K16" si="0">+I7-$D7</f>
        <v>-79950</v>
      </c>
      <c r="L7" s="11">
        <f>IF($D7=0,"0%",I7/$D7)</f>
        <v>0.90098458108861235</v>
      </c>
      <c r="N7" s="142">
        <f t="shared" ref="N7:N16" si="1">+I7-$E7</f>
        <v>144202</v>
      </c>
      <c r="O7" s="11">
        <f t="shared" ref="O7:O17" si="2">IF($E7=0,"0%",I7/$E7)</f>
        <v>1.247218402943264</v>
      </c>
    </row>
    <row r="8" spans="1:15" x14ac:dyDescent="0.2">
      <c r="A8" s="10"/>
      <c r="B8" s="7"/>
      <c r="C8" s="10" t="s">
        <v>250</v>
      </c>
      <c r="D8" s="143">
        <f>+'Acct Detail ENTER DATA HERE'!H11+'Acct Detail ENTER DATA HERE'!H25+'Acct Detail ENTER DATA HERE'!H31+'Acct Detail ENTER DATA HERE'!H38+'Acct Detail ENTER DATA HERE'!H56+'Acct Detail ENTER DATA HERE'!H61+'Acct Detail ENTER DATA HERE'!H68+'Acct Detail ENTER DATA HERE'!H69+'Acct Detail ENTER DATA HERE'!H76+'Acct Detail ENTER DATA HERE'!H78+'Acct Detail ENTER DATA HERE'!H57</f>
        <v>676775</v>
      </c>
      <c r="E8" s="143">
        <f>+'Acct Detail ENTER DATA HERE'!I11+'Acct Detail ENTER DATA HERE'!I25+'Acct Detail ENTER DATA HERE'!I31+'Acct Detail ENTER DATA HERE'!I38+'Acct Detail ENTER DATA HERE'!I56+'Acct Detail ENTER DATA HERE'!I61+'Acct Detail ENTER DATA HERE'!I68+'Acct Detail ENTER DATA HERE'!I69+'Acct Detail ENTER DATA HERE'!I76+'Acct Detail ENTER DATA HERE'!I78+'Acct Detail ENTER DATA HERE'!I57</f>
        <v>299027</v>
      </c>
      <c r="F8" s="143">
        <f>+'Acct Detail ENTER DATA HERE'!J11+'Acct Detail ENTER DATA HERE'!J25+'Acct Detail ENTER DATA HERE'!J31+'Acct Detail ENTER DATA HERE'!J38+'Acct Detail ENTER DATA HERE'!J56+'Acct Detail ENTER DATA HERE'!J61+'Acct Detail ENTER DATA HERE'!J68+'Acct Detail ENTER DATA HERE'!J69+'Acct Detail ENTER DATA HERE'!J76+'Acct Detail ENTER DATA HERE'!J78+'Acct Detail ENTER DATA HERE'!J57</f>
        <v>85206</v>
      </c>
      <c r="G8" s="143">
        <f>+'Acct Detail ENTER DATA HERE'!K11+'Acct Detail ENTER DATA HERE'!K25+'Acct Detail ENTER DATA HERE'!K31+'Acct Detail ENTER DATA HERE'!K38+'Acct Detail ENTER DATA HERE'!K56+'Acct Detail ENTER DATA HERE'!K61+'Acct Detail ENTER DATA HERE'!K68+'Acct Detail ENTER DATA HERE'!K69+'Acct Detail ENTER DATA HERE'!K76+'Acct Detail ENTER DATA HERE'!K78+'Acct Detail ENTER DATA HERE'!K57</f>
        <v>113593.99999999999</v>
      </c>
      <c r="H8" s="143">
        <f>+'Acct Detail ENTER DATA HERE'!L11+'Acct Detail ENTER DATA HERE'!L25+'Acct Detail ENTER DATA HERE'!L31+'Acct Detail ENTER DATA HERE'!L38+'Acct Detail ENTER DATA HERE'!L56+'Acct Detail ENTER DATA HERE'!L61+'Acct Detail ENTER DATA HERE'!L68+'Acct Detail ENTER DATA HERE'!L69+'Acct Detail ENTER DATA HERE'!L76+'Acct Detail ENTER DATA HERE'!L78+'Acct Detail ENTER DATA HERE'!L57</f>
        <v>487901</v>
      </c>
      <c r="I8" s="148">
        <f>+'Acct Detail ENTER DATA HERE'!M11+'Acct Detail ENTER DATA HERE'!M25+'Acct Detail ENTER DATA HERE'!M31+'Acct Detail ENTER DATA HERE'!M38+'Acct Detail ENTER DATA HERE'!M56+'Acct Detail ENTER DATA HERE'!M61+'Acct Detail ENTER DATA HERE'!M68+'Acct Detail ENTER DATA HERE'!M69+'Acct Detail ENTER DATA HERE'!M76+'Acct Detail ENTER DATA HERE'!M78+'Acct Detail ENTER DATA HERE'!M57</f>
        <v>413400</v>
      </c>
      <c r="J8" s="135"/>
      <c r="K8" s="142">
        <f t="shared" si="0"/>
        <v>-263375</v>
      </c>
      <c r="L8" s="11">
        <f>IF($D8=0,"0%",I8/$D8)</f>
        <v>0.61083816630342436</v>
      </c>
      <c r="N8" s="142">
        <f t="shared" si="1"/>
        <v>114373</v>
      </c>
      <c r="O8" s="11">
        <f t="shared" si="2"/>
        <v>1.382483855972872</v>
      </c>
    </row>
    <row r="9" spans="1:15" x14ac:dyDescent="0.2">
      <c r="A9" s="10"/>
      <c r="B9" s="7"/>
      <c r="C9" s="10" t="s">
        <v>3</v>
      </c>
      <c r="D9" s="143">
        <f>+'Acct Detail ENTER DATA HERE'!H37</f>
        <v>350931</v>
      </c>
      <c r="E9" s="143">
        <f>+'Acct Detail ENTER DATA HERE'!I37</f>
        <v>360199</v>
      </c>
      <c r="F9" s="143">
        <f>+'Acct Detail ENTER DATA HERE'!J37</f>
        <v>275329</v>
      </c>
      <c r="G9" s="143">
        <f>+'Acct Detail ENTER DATA HERE'!K37</f>
        <v>367105.33333333331</v>
      </c>
      <c r="H9" s="143">
        <f>+'Acct Detail ENTER DATA HERE'!L37</f>
        <v>355565</v>
      </c>
      <c r="I9" s="148">
        <f>+'Acct Detail ENTER DATA HERE'!M37</f>
        <v>367100</v>
      </c>
      <c r="J9" s="135"/>
      <c r="K9" s="142">
        <f t="shared" si="0"/>
        <v>16169</v>
      </c>
      <c r="L9" s="11">
        <f>IF($D9=0,"0%",I9/$D9)</f>
        <v>1.0460745844624726</v>
      </c>
      <c r="N9" s="142">
        <f t="shared" si="1"/>
        <v>6901</v>
      </c>
      <c r="O9" s="11">
        <f t="shared" si="2"/>
        <v>1.0191588538557852</v>
      </c>
    </row>
    <row r="10" spans="1:15" x14ac:dyDescent="0.2">
      <c r="A10" s="10"/>
      <c r="B10" s="7"/>
      <c r="C10" s="10" t="s">
        <v>345</v>
      </c>
      <c r="D10" s="143">
        <f>+'Acct Detail ENTER DATA HERE'!H23</f>
        <v>0</v>
      </c>
      <c r="E10" s="143">
        <f>+'Acct Detail ENTER DATA HERE'!I23</f>
        <v>58932</v>
      </c>
      <c r="F10" s="143">
        <f>+'Acct Detail ENTER DATA HERE'!J23</f>
        <v>125105</v>
      </c>
      <c r="G10" s="143">
        <f>+'Acct Detail ENTER DATA HERE'!K23</f>
        <v>166806.66666666666</v>
      </c>
      <c r="H10" s="143">
        <f>+'Acct Detail ENTER DATA HERE'!L23</f>
        <v>29466</v>
      </c>
      <c r="I10" s="148">
        <f>+'Acct Detail ENTER DATA HERE'!M23</f>
        <v>96700</v>
      </c>
      <c r="J10" s="135"/>
      <c r="K10" s="142">
        <f t="shared" si="0"/>
        <v>96700</v>
      </c>
      <c r="L10" s="11" t="str">
        <f>IF($D10=0,"0%",I10/$D10)</f>
        <v>0%</v>
      </c>
      <c r="N10" s="142">
        <f t="shared" si="1"/>
        <v>37768</v>
      </c>
      <c r="O10" s="11">
        <f t="shared" si="2"/>
        <v>1.6408742279237087</v>
      </c>
    </row>
    <row r="11" spans="1:15" x14ac:dyDescent="0.2">
      <c r="A11" s="10"/>
      <c r="B11" s="7"/>
      <c r="C11" s="10" t="s">
        <v>215</v>
      </c>
      <c r="D11" s="143">
        <f>+'Acct Detail ENTER DATA HERE'!H55</f>
        <v>291294</v>
      </c>
      <c r="E11" s="143">
        <f>+'Acct Detail ENTER DATA HERE'!I55</f>
        <v>280892</v>
      </c>
      <c r="F11" s="143">
        <f>+'Acct Detail ENTER DATA HERE'!J55</f>
        <v>0</v>
      </c>
      <c r="G11" s="143">
        <f>+'Acct Detail ENTER DATA HERE'!K55</f>
        <v>0</v>
      </c>
      <c r="H11" s="143">
        <f>+'Acct Detail ENTER DATA HERE'!L55</f>
        <v>286093</v>
      </c>
      <c r="I11" s="148">
        <f>+'Acct Detail ENTER DATA HERE'!M55</f>
        <v>352000</v>
      </c>
      <c r="J11" s="135"/>
      <c r="K11" s="142">
        <f t="shared" si="0"/>
        <v>60706</v>
      </c>
      <c r="L11" s="11">
        <f>IF($E11=0,"0%",I11/$E11)</f>
        <v>1.2531506771285761</v>
      </c>
      <c r="N11" s="142">
        <f t="shared" si="1"/>
        <v>71108</v>
      </c>
      <c r="O11" s="11">
        <f t="shared" si="2"/>
        <v>1.2531506771285761</v>
      </c>
    </row>
    <row r="12" spans="1:15" x14ac:dyDescent="0.2">
      <c r="A12" s="10"/>
      <c r="B12" s="7"/>
      <c r="C12" s="10" t="s">
        <v>4</v>
      </c>
      <c r="D12" s="143">
        <f>+'Acct Detail ENTER DATA HERE'!H53+'Acct Detail ENTER DATA HERE'!H60+'Acct Detail ENTER DATA HERE'!H72+'Acct Detail ENTER DATA HERE'!H74</f>
        <v>16210</v>
      </c>
      <c r="E12" s="143">
        <f>+'Acct Detail ENTER DATA HERE'!I53+'Acct Detail ENTER DATA HERE'!I60+'Acct Detail ENTER DATA HERE'!I72+'Acct Detail ENTER DATA HERE'!I74</f>
        <v>75179</v>
      </c>
      <c r="F12" s="143">
        <f>+'Acct Detail ENTER DATA HERE'!J53+'Acct Detail ENTER DATA HERE'!J60+'Acct Detail ENTER DATA HERE'!J72+'Acct Detail ENTER DATA HERE'!J74</f>
        <v>52999</v>
      </c>
      <c r="G12" s="143">
        <f>+'Acct Detail ENTER DATA HERE'!K53+'Acct Detail ENTER DATA HERE'!K60+'Acct Detail ENTER DATA HERE'!K72+'Acct Detail ENTER DATA HERE'!K74</f>
        <v>70665.333333333328</v>
      </c>
      <c r="H12" s="143">
        <f>+'Acct Detail ENTER DATA HERE'!L53+'Acct Detail ENTER DATA HERE'!L60+'Acct Detail ENTER DATA HERE'!L72+'Acct Detail ENTER DATA HERE'!L74</f>
        <v>45694.5</v>
      </c>
      <c r="I12" s="148">
        <f>+'Acct Detail ENTER DATA HERE'!M53+'Acct Detail ENTER DATA HERE'!M60+'Acct Detail ENTER DATA HERE'!M72+'Acct Detail ENTER DATA HERE'!M74</f>
        <v>44900</v>
      </c>
      <c r="J12" s="135"/>
      <c r="K12" s="142">
        <f t="shared" si="0"/>
        <v>28690</v>
      </c>
      <c r="L12" s="11">
        <f t="shared" ref="L12:L17" si="3">IF($D12=0,"0%",I12/$D12)</f>
        <v>2.769895126465145</v>
      </c>
      <c r="N12" s="142">
        <f t="shared" si="1"/>
        <v>-30279</v>
      </c>
      <c r="O12" s="11">
        <f t="shared" si="2"/>
        <v>0.59724125088123015</v>
      </c>
    </row>
    <row r="13" spans="1:15" x14ac:dyDescent="0.2">
      <c r="A13" s="10"/>
      <c r="B13" s="7"/>
      <c r="C13" s="10" t="s">
        <v>226</v>
      </c>
      <c r="D13" s="143">
        <f>'Acct Detail ENTER DATA HERE'!H65</f>
        <v>316269</v>
      </c>
      <c r="E13" s="143">
        <f>'Acct Detail ENTER DATA HERE'!I65</f>
        <v>67852</v>
      </c>
      <c r="F13" s="143">
        <f>'Acct Detail ENTER DATA HERE'!J65</f>
        <v>54996</v>
      </c>
      <c r="G13" s="143">
        <f>'Acct Detail ENTER DATA HERE'!K65</f>
        <v>73328</v>
      </c>
      <c r="H13" s="143">
        <f>'Acct Detail ENTER DATA HERE'!L65</f>
        <v>192060.5</v>
      </c>
      <c r="I13" s="148">
        <f>'Acct Detail ENTER DATA HERE'!M65</f>
        <v>192000</v>
      </c>
      <c r="J13" s="135"/>
      <c r="K13" s="142">
        <f t="shared" si="0"/>
        <v>-124269</v>
      </c>
      <c r="L13" s="11">
        <f t="shared" si="3"/>
        <v>0.60707815182645153</v>
      </c>
      <c r="N13" s="142">
        <f t="shared" si="1"/>
        <v>124148</v>
      </c>
      <c r="O13" s="11">
        <f t="shared" si="2"/>
        <v>2.8296881447857101</v>
      </c>
    </row>
    <row r="14" spans="1:15" x14ac:dyDescent="0.2">
      <c r="A14" s="10"/>
      <c r="B14" s="7"/>
      <c r="C14" s="10" t="s">
        <v>231</v>
      </c>
      <c r="D14" s="143">
        <f>+'Acct Detail ENTER DATA HERE'!H39</f>
        <v>149819</v>
      </c>
      <c r="E14" s="143">
        <f>+'Acct Detail ENTER DATA HERE'!I39</f>
        <v>46453</v>
      </c>
      <c r="F14" s="143">
        <f>+'Acct Detail ENTER DATA HERE'!J39</f>
        <v>32826</v>
      </c>
      <c r="G14" s="143">
        <f>+'Acct Detail ENTER DATA HERE'!K39</f>
        <v>43768</v>
      </c>
      <c r="H14" s="143">
        <f>+'Acct Detail ENTER DATA HERE'!L39</f>
        <v>98136</v>
      </c>
      <c r="I14" s="148">
        <f>+'Acct Detail ENTER DATA HERE'!M39</f>
        <v>149800</v>
      </c>
      <c r="J14" s="135"/>
      <c r="K14" s="142">
        <f t="shared" si="0"/>
        <v>-19</v>
      </c>
      <c r="L14" s="11">
        <f t="shared" si="3"/>
        <v>0.99987318030423378</v>
      </c>
      <c r="N14" s="142">
        <f t="shared" si="1"/>
        <v>103347</v>
      </c>
      <c r="O14" s="11">
        <f t="shared" si="2"/>
        <v>3.2247648160506319</v>
      </c>
    </row>
    <row r="15" spans="1:15" x14ac:dyDescent="0.2">
      <c r="A15" s="10"/>
      <c r="B15" s="7"/>
      <c r="C15" s="10" t="s">
        <v>217</v>
      </c>
      <c r="D15" s="143">
        <f>+'Acct Detail ENTER DATA HERE'!H63</f>
        <v>15186</v>
      </c>
      <c r="E15" s="143">
        <f>+'Acct Detail ENTER DATA HERE'!I63</f>
        <v>210</v>
      </c>
      <c r="F15" s="143">
        <f>+'Acct Detail ENTER DATA HERE'!J63</f>
        <v>2</v>
      </c>
      <c r="G15" s="143">
        <f>+'Acct Detail ENTER DATA HERE'!K63</f>
        <v>2.6666666666666665</v>
      </c>
      <c r="H15" s="143">
        <f>+'Acct Detail ENTER DATA HERE'!L63</f>
        <v>7698</v>
      </c>
      <c r="I15" s="148">
        <f>+'Acct Detail ENTER DATA HERE'!M63</f>
        <v>0</v>
      </c>
      <c r="J15" s="135"/>
      <c r="K15" s="142">
        <f t="shared" si="0"/>
        <v>-15186</v>
      </c>
      <c r="L15" s="11">
        <f t="shared" si="3"/>
        <v>0</v>
      </c>
      <c r="N15" s="142">
        <f t="shared" si="1"/>
        <v>-210</v>
      </c>
      <c r="O15" s="11">
        <f t="shared" si="2"/>
        <v>0</v>
      </c>
    </row>
    <row r="16" spans="1:15" x14ac:dyDescent="0.2">
      <c r="A16" s="10"/>
      <c r="B16" s="7"/>
      <c r="C16" s="10" t="s">
        <v>5</v>
      </c>
      <c r="D16" s="143">
        <f>+'Acct Detail ENTER DATA HERE'!H64+'Acct Detail ENTER DATA HERE'!H77+'Acct Detail ENTER DATA HERE'!H80</f>
        <v>216</v>
      </c>
      <c r="E16" s="143">
        <f>+'Acct Detail ENTER DATA HERE'!I64+'Acct Detail ENTER DATA HERE'!I77+'Acct Detail ENTER DATA HERE'!I80</f>
        <v>1395</v>
      </c>
      <c r="F16" s="143">
        <f>+'Acct Detail ENTER DATA HERE'!J64+'Acct Detail ENTER DATA HERE'!J77+'Acct Detail ENTER DATA HERE'!J80</f>
        <v>1045</v>
      </c>
      <c r="G16" s="143">
        <f>+'Acct Detail ENTER DATA HERE'!K64+'Acct Detail ENTER DATA HERE'!K77+'Acct Detail ENTER DATA HERE'!K80</f>
        <v>1393.3333333333335</v>
      </c>
      <c r="H16" s="143">
        <f>+'Acct Detail ENTER DATA HERE'!L64+'Acct Detail ENTER DATA HERE'!L77+'Acct Detail ENTER DATA HERE'!L80</f>
        <v>805.5</v>
      </c>
      <c r="I16" s="148">
        <f>+'Acct Detail ENTER DATA HERE'!M64+'Acct Detail ENTER DATA HERE'!M77+'Acct Detail ENTER DATA HERE'!M80</f>
        <v>0</v>
      </c>
      <c r="J16" s="135"/>
      <c r="K16" s="142">
        <f t="shared" si="0"/>
        <v>-216</v>
      </c>
      <c r="L16" s="11">
        <f t="shared" si="3"/>
        <v>0</v>
      </c>
      <c r="N16" s="142">
        <f t="shared" si="1"/>
        <v>-1395</v>
      </c>
      <c r="O16" s="11">
        <f t="shared" si="2"/>
        <v>0</v>
      </c>
    </row>
    <row r="17" spans="1:15" ht="13.5" thickBot="1" x14ac:dyDescent="0.25">
      <c r="A17" s="10"/>
      <c r="B17" s="12"/>
      <c r="C17" s="13" t="s">
        <v>6</v>
      </c>
      <c r="D17" s="149">
        <f t="shared" ref="D17:I17" si="4">SUM(D7:D16)</f>
        <v>2624150</v>
      </c>
      <c r="E17" s="149">
        <f t="shared" si="4"/>
        <v>1773437</v>
      </c>
      <c r="F17" s="149">
        <f t="shared" si="4"/>
        <v>1059759</v>
      </c>
      <c r="G17" s="149">
        <f t="shared" si="4"/>
        <v>1412998</v>
      </c>
      <c r="H17" s="149">
        <f t="shared" si="4"/>
        <v>2198793.5</v>
      </c>
      <c r="I17" s="150">
        <f t="shared" si="4"/>
        <v>2343400</v>
      </c>
      <c r="J17" s="135"/>
      <c r="K17" s="149">
        <f>SUM(K7:K16)</f>
        <v>-280750</v>
      </c>
      <c r="L17" s="14">
        <f t="shared" si="3"/>
        <v>0.8930129756302041</v>
      </c>
      <c r="N17" s="149">
        <f>SUM(N7:N16)</f>
        <v>569963</v>
      </c>
      <c r="O17" s="14">
        <f t="shared" si="2"/>
        <v>1.3213889188056864</v>
      </c>
    </row>
    <row r="18" spans="1:15" x14ac:dyDescent="0.2">
      <c r="A18" s="10"/>
      <c r="B18" s="7" t="s">
        <v>7</v>
      </c>
      <c r="C18" s="10"/>
      <c r="D18" s="151"/>
      <c r="E18" s="151"/>
      <c r="F18" s="151"/>
      <c r="G18" s="151"/>
      <c r="H18" s="151"/>
      <c r="I18" s="152"/>
      <c r="J18" s="135"/>
      <c r="K18" s="151"/>
      <c r="L18" s="15"/>
      <c r="N18" s="151"/>
      <c r="O18" s="15"/>
    </row>
    <row r="19" spans="1:15" x14ac:dyDescent="0.2">
      <c r="A19" s="10"/>
      <c r="B19" s="7"/>
      <c r="C19" s="10" t="s">
        <v>8</v>
      </c>
      <c r="D19" s="143">
        <f>+'Acct Detail ENTER DATA HERE'!H93+'Acct Detail ENTER DATA HERE'!H103+'Acct Detail ENTER DATA HERE'!H105+'Acct Detail ENTER DATA HERE'!H111+'Acct Detail ENTER DATA HERE'!H116+'Acct Detail ENTER DATA HERE'!H119+'Acct Detail ENTER DATA HERE'!H136+'Acct Detail ENTER DATA HERE'!H137</f>
        <v>200977</v>
      </c>
      <c r="E19" s="143">
        <f>+'Acct Detail ENTER DATA HERE'!I93+'Acct Detail ENTER DATA HERE'!I103+'Acct Detail ENTER DATA HERE'!I105+'Acct Detail ENTER DATA HERE'!I111+'Acct Detail ENTER DATA HERE'!I116+'Acct Detail ENTER DATA HERE'!I119+'Acct Detail ENTER DATA HERE'!I136+'Acct Detail ENTER DATA HERE'!I137</f>
        <v>157559</v>
      </c>
      <c r="F19" s="143">
        <f>+'Acct Detail ENTER DATA HERE'!J93+'Acct Detail ENTER DATA HERE'!J99+'Acct Detail ENTER DATA HERE'!J105+'Acct Detail ENTER DATA HERE'!J111+'Acct Detail ENTER DATA HERE'!J116+'Acct Detail ENTER DATA HERE'!J119+'Acct Detail ENTER DATA HERE'!J136+0</f>
        <v>69486</v>
      </c>
      <c r="G19" s="143">
        <f>+'Acct Detail ENTER DATA HERE'!K93+'Acct Detail ENTER DATA HERE'!K103+'Acct Detail ENTER DATA HERE'!K105+'Acct Detail ENTER DATA HERE'!K111+'Acct Detail ENTER DATA HERE'!K116+'Acct Detail ENTER DATA HERE'!K119+'Acct Detail ENTER DATA HERE'!K136+'Acct Detail ENTER DATA HERE'!K137</f>
        <v>111612</v>
      </c>
      <c r="H19" s="143">
        <f>+'Acct Detail ENTER DATA HERE'!L93+'Acct Detail ENTER DATA HERE'!L103+'Acct Detail ENTER DATA HERE'!L105+'Acct Detail ENTER DATA HERE'!L111+'Acct Detail ENTER DATA HERE'!L116+'Acct Detail ENTER DATA HERE'!L119+'Acct Detail ENTER DATA HERE'!L136+'Acct Detail ENTER DATA HERE'!L137</f>
        <v>179268</v>
      </c>
      <c r="I19" s="148">
        <f>+'Acct Detail ENTER DATA HERE'!M93+'Acct Detail ENTER DATA HERE'!M103+'Acct Detail ENTER DATA HERE'!M105+'Acct Detail ENTER DATA HERE'!M111+'Acct Detail ENTER DATA HERE'!M116+'Acct Detail ENTER DATA HERE'!M119+'Acct Detail ENTER DATA HERE'!M136+'Acct Detail ENTER DATA HERE'!M137</f>
        <v>332300</v>
      </c>
      <c r="J19" s="135"/>
      <c r="K19" s="142">
        <f t="shared" ref="K19:K24" si="5">+I19-$D19</f>
        <v>131323</v>
      </c>
      <c r="L19" s="16">
        <f t="shared" ref="L19:L25" si="6">IF($D19=0,"0%",I19/$D19)</f>
        <v>1.6534230285057494</v>
      </c>
      <c r="N19" s="142">
        <f t="shared" ref="N19:N24" si="7">+I19-$E19</f>
        <v>174741</v>
      </c>
      <c r="O19" s="16">
        <f t="shared" ref="O19:O25" si="8">IF($E19=0,"0%",I19/$E19)</f>
        <v>2.1090512125616434</v>
      </c>
    </row>
    <row r="20" spans="1:15" x14ac:dyDescent="0.2">
      <c r="A20" s="10"/>
      <c r="B20" s="7"/>
      <c r="C20" s="10" t="s">
        <v>9</v>
      </c>
      <c r="D20" s="143">
        <f>+'Acct Detail ENTER DATA HERE'!H94+'Acct Detail ENTER DATA HERE'!H95+'Acct Detail ENTER DATA HERE'!H106+'Acct Detail ENTER DATA HERE'!H107+'Acct Detail ENTER DATA HERE'!H112+'Acct Detail ENTER DATA HERE'!H113+0</f>
        <v>130127</v>
      </c>
      <c r="E20" s="143">
        <f>+'Acct Detail ENTER DATA HERE'!I94+'Acct Detail ENTER DATA HERE'!I95+'Acct Detail ENTER DATA HERE'!I106+'Acct Detail ENTER DATA HERE'!I107+'Acct Detail ENTER DATA HERE'!I112+'Acct Detail ENTER DATA HERE'!I113+0</f>
        <v>215239</v>
      </c>
      <c r="F20" s="143">
        <f>+'Acct Detail ENTER DATA HERE'!J94+'Acct Detail ENTER DATA HERE'!J95+'Acct Detail ENTER DATA HERE'!J106+'Acct Detail ENTER DATA HERE'!J107+'Acct Detail ENTER DATA HERE'!J112+'Acct Detail ENTER DATA HERE'!J113+0</f>
        <v>95260</v>
      </c>
      <c r="G20" s="143">
        <f>+'Acct Detail ENTER DATA HERE'!K94+'Acct Detail ENTER DATA HERE'!K95+'Acct Detail ENTER DATA HERE'!K106+'Acct Detail ENTER DATA HERE'!K107+'Acct Detail ENTER DATA HERE'!K112+'Acct Detail ENTER DATA HERE'!K113+0</f>
        <v>127013.33333333333</v>
      </c>
      <c r="H20" s="143">
        <f>+'Acct Detail ENTER DATA HERE'!L94+'Acct Detail ENTER DATA HERE'!L95+'Acct Detail ENTER DATA HERE'!L106+'Acct Detail ENTER DATA HERE'!L107+'Acct Detail ENTER DATA HERE'!L112+'Acct Detail ENTER DATA HERE'!L113+0</f>
        <v>172683</v>
      </c>
      <c r="I20" s="148">
        <f>+'Acct Detail ENTER DATA HERE'!M94+'Acct Detail ENTER DATA HERE'!M95+'Acct Detail ENTER DATA HERE'!M106+'Acct Detail ENTER DATA HERE'!M107+'Acct Detail ENTER DATA HERE'!M112+'Acct Detail ENTER DATA HERE'!M113+0</f>
        <v>161400</v>
      </c>
      <c r="J20" s="135"/>
      <c r="K20" s="142">
        <f t="shared" si="5"/>
        <v>31273</v>
      </c>
      <c r="L20" s="16">
        <f t="shared" si="6"/>
        <v>1.2403267577059334</v>
      </c>
      <c r="N20" s="142">
        <f t="shared" si="7"/>
        <v>-53839</v>
      </c>
      <c r="O20" s="16">
        <f t="shared" si="8"/>
        <v>0.7498641045535428</v>
      </c>
    </row>
    <row r="21" spans="1:15" hidden="1" x14ac:dyDescent="0.2">
      <c r="A21" s="10"/>
      <c r="B21" s="7"/>
      <c r="C21" s="10" t="s">
        <v>10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8">
        <v>0</v>
      </c>
      <c r="J21" s="135"/>
      <c r="K21" s="142">
        <f t="shared" si="5"/>
        <v>0</v>
      </c>
      <c r="L21" s="16" t="str">
        <f t="shared" si="6"/>
        <v>0%</v>
      </c>
      <c r="N21" s="142">
        <f t="shared" si="7"/>
        <v>0</v>
      </c>
      <c r="O21" s="16" t="str">
        <f t="shared" si="8"/>
        <v>0%</v>
      </c>
    </row>
    <row r="22" spans="1:15" x14ac:dyDescent="0.2">
      <c r="A22" s="10"/>
      <c r="B22" s="7"/>
      <c r="C22" s="10" t="s">
        <v>11</v>
      </c>
      <c r="D22" s="143">
        <f>+'Acct Detail ENTER DATA HERE'!H134+'Acct Detail ENTER DATA HERE'!H135</f>
        <v>218606</v>
      </c>
      <c r="E22" s="143">
        <f>+'Acct Detail ENTER DATA HERE'!I134+'Acct Detail ENTER DATA HERE'!I135</f>
        <v>275604</v>
      </c>
      <c r="F22" s="143">
        <f>+'Acct Detail ENTER DATA HERE'!J134+'Acct Detail ENTER DATA HERE'!J135</f>
        <v>0</v>
      </c>
      <c r="G22" s="143">
        <f>+'Acct Detail ENTER DATA HERE'!K134+'Acct Detail ENTER DATA HERE'!K135</f>
        <v>0</v>
      </c>
      <c r="H22" s="143">
        <f>+'Acct Detail ENTER DATA HERE'!L134+'Acct Detail ENTER DATA HERE'!L135</f>
        <v>247105</v>
      </c>
      <c r="I22" s="148">
        <f>+'Acct Detail ENTER DATA HERE'!M134+'Acct Detail ENTER DATA HERE'!M135</f>
        <v>352000</v>
      </c>
      <c r="J22" s="135"/>
      <c r="K22" s="142">
        <f t="shared" si="5"/>
        <v>133394</v>
      </c>
      <c r="L22" s="11">
        <f>IF($D22=0,"0%",I22/$D22)</f>
        <v>1.6102028306633853</v>
      </c>
      <c r="N22" s="142">
        <f t="shared" si="7"/>
        <v>76396</v>
      </c>
      <c r="O22" s="11">
        <f t="shared" si="8"/>
        <v>1.2771948157501343</v>
      </c>
    </row>
    <row r="23" spans="1:15" x14ac:dyDescent="0.2">
      <c r="A23" s="10"/>
      <c r="B23" s="7"/>
      <c r="C23" s="10" t="s">
        <v>12</v>
      </c>
      <c r="D23" s="143">
        <f>+'Acct Detail ENTER DATA HERE'!H118</f>
        <v>5830</v>
      </c>
      <c r="E23" s="143">
        <f>+'Acct Detail ENTER DATA HERE'!I118</f>
        <v>9201</v>
      </c>
      <c r="F23" s="143">
        <f>+'Acct Detail ENTER DATA HERE'!J118</f>
        <v>1468</v>
      </c>
      <c r="G23" s="143">
        <f>+'Acct Detail ENTER DATA HERE'!K118</f>
        <v>1957.3333333333335</v>
      </c>
      <c r="H23" s="143">
        <f>+'Acct Detail ENTER DATA HERE'!L118</f>
        <v>7515.5</v>
      </c>
      <c r="I23" s="148">
        <f>+'Acct Detail ENTER DATA HERE'!M118</f>
        <v>10000</v>
      </c>
      <c r="J23" s="135"/>
      <c r="K23" s="142">
        <f t="shared" si="5"/>
        <v>4170</v>
      </c>
      <c r="L23" s="16">
        <f>IF($D23=0,"0%",I23/$D23)</f>
        <v>1.7152658662092624</v>
      </c>
      <c r="N23" s="142">
        <f t="shared" si="7"/>
        <v>799</v>
      </c>
      <c r="O23" s="16">
        <f>IF($E23=0,"0%",I23/$E23)</f>
        <v>1.0868383871318334</v>
      </c>
    </row>
    <row r="24" spans="1:15" x14ac:dyDescent="0.2">
      <c r="A24" s="10"/>
      <c r="B24" s="7"/>
      <c r="C24" s="10" t="s">
        <v>214</v>
      </c>
      <c r="D24" s="143">
        <f>+'Acct Detail ENTER DATA HERE'!H117</f>
        <v>1175</v>
      </c>
      <c r="E24" s="143">
        <f>+'Acct Detail ENTER DATA HERE'!I117</f>
        <v>60</v>
      </c>
      <c r="F24" s="143">
        <f>+'Acct Detail ENTER DATA HERE'!J117</f>
        <v>1256</v>
      </c>
      <c r="G24" s="143">
        <f>+'Acct Detail ENTER DATA HERE'!K117</f>
        <v>1674.6666666666665</v>
      </c>
      <c r="H24" s="143">
        <f>+'Acct Detail ENTER DATA HERE'!L117</f>
        <v>617.5</v>
      </c>
      <c r="I24" s="148">
        <f>+'Acct Detail ENTER DATA HERE'!M117</f>
        <v>0</v>
      </c>
      <c r="J24" s="135"/>
      <c r="K24" s="142">
        <f t="shared" si="5"/>
        <v>-1175</v>
      </c>
      <c r="L24" s="11">
        <f t="shared" si="6"/>
        <v>0</v>
      </c>
      <c r="N24" s="142">
        <f t="shared" si="7"/>
        <v>-60</v>
      </c>
      <c r="O24" s="16">
        <f t="shared" si="8"/>
        <v>0</v>
      </c>
    </row>
    <row r="25" spans="1:15" ht="13.5" thickBot="1" x14ac:dyDescent="0.25">
      <c r="A25" s="10"/>
      <c r="B25" s="7"/>
      <c r="C25" s="13" t="s">
        <v>13</v>
      </c>
      <c r="D25" s="149">
        <f t="shared" ref="D25:I25" si="9">SUM(D19:D24)</f>
        <v>556715</v>
      </c>
      <c r="E25" s="149">
        <f t="shared" si="9"/>
        <v>657663</v>
      </c>
      <c r="F25" s="149">
        <f t="shared" si="9"/>
        <v>167470</v>
      </c>
      <c r="G25" s="149">
        <f t="shared" si="9"/>
        <v>242257.33333333331</v>
      </c>
      <c r="H25" s="149">
        <f t="shared" si="9"/>
        <v>607189</v>
      </c>
      <c r="I25" s="150">
        <f t="shared" si="9"/>
        <v>855700</v>
      </c>
      <c r="J25" s="135"/>
      <c r="K25" s="149">
        <f>SUM(K19:K24)</f>
        <v>298985</v>
      </c>
      <c r="L25" s="14">
        <f t="shared" si="6"/>
        <v>1.5370521721167922</v>
      </c>
      <c r="N25" s="149">
        <f>SUM(N19:N24)</f>
        <v>198037</v>
      </c>
      <c r="O25" s="14">
        <f t="shared" si="8"/>
        <v>1.301122307321531</v>
      </c>
    </row>
    <row r="26" spans="1:15" ht="5.0999999999999996" customHeight="1" x14ac:dyDescent="0.2">
      <c r="A26" s="10"/>
      <c r="B26" s="12"/>
      <c r="C26" s="10"/>
      <c r="D26" s="151"/>
      <c r="E26" s="151"/>
      <c r="F26" s="151"/>
      <c r="G26" s="151"/>
      <c r="H26" s="151"/>
      <c r="I26" s="152"/>
      <c r="J26" s="135"/>
      <c r="K26" s="151"/>
      <c r="L26" s="15"/>
      <c r="N26" s="151"/>
      <c r="O26" s="15"/>
    </row>
    <row r="27" spans="1:15" x14ac:dyDescent="0.2">
      <c r="A27" s="10"/>
      <c r="B27" s="7" t="s">
        <v>14</v>
      </c>
      <c r="C27" s="10"/>
      <c r="D27" s="151">
        <f t="shared" ref="D27:I27" si="10">+D17-D25</f>
        <v>2067435</v>
      </c>
      <c r="E27" s="151">
        <f t="shared" si="10"/>
        <v>1115774</v>
      </c>
      <c r="F27" s="151">
        <f>+F17-F25</f>
        <v>892289</v>
      </c>
      <c r="G27" s="151">
        <f>+G17-G25</f>
        <v>1170740.6666666667</v>
      </c>
      <c r="H27" s="151">
        <f t="shared" si="10"/>
        <v>1591604.5</v>
      </c>
      <c r="I27" s="152">
        <f t="shared" si="10"/>
        <v>1487700</v>
      </c>
      <c r="J27" s="135"/>
      <c r="K27" s="153">
        <f>+I27-D27</f>
        <v>-579735</v>
      </c>
      <c r="L27" s="16">
        <f>IF($E27=0,"0%",E27/$E27)</f>
        <v>1</v>
      </c>
      <c r="M27" s="23"/>
      <c r="N27" s="153">
        <f>+I27-E27</f>
        <v>371926</v>
      </c>
      <c r="O27" s="16">
        <f>IF($E27=0,"0%",I27/$E27)</f>
        <v>1.3333345283184588</v>
      </c>
    </row>
    <row r="28" spans="1:15" ht="5.0999999999999996" customHeight="1" x14ac:dyDescent="0.2">
      <c r="A28" s="10"/>
      <c r="B28" s="7"/>
      <c r="C28" s="10"/>
      <c r="D28" s="151"/>
      <c r="E28" s="151"/>
      <c r="F28" s="151"/>
      <c r="G28" s="151"/>
      <c r="H28" s="151"/>
      <c r="I28" s="152"/>
      <c r="J28" s="135"/>
      <c r="K28" s="151"/>
      <c r="L28" s="15"/>
      <c r="N28" s="151"/>
      <c r="O28" s="15"/>
    </row>
    <row r="29" spans="1:15" x14ac:dyDescent="0.2">
      <c r="A29" s="10"/>
      <c r="B29" s="7" t="s">
        <v>15</v>
      </c>
      <c r="C29" s="10"/>
      <c r="D29" s="151"/>
      <c r="E29" s="151"/>
      <c r="F29" s="151"/>
      <c r="G29" s="151"/>
      <c r="H29" s="151"/>
      <c r="I29" s="152"/>
      <c r="J29" s="135"/>
      <c r="K29" s="151"/>
      <c r="L29" s="15"/>
      <c r="N29" s="151"/>
      <c r="O29" s="15"/>
    </row>
    <row r="30" spans="1:15" x14ac:dyDescent="0.2">
      <c r="A30" s="10"/>
      <c r="B30" s="7"/>
      <c r="C30" s="10" t="s">
        <v>16</v>
      </c>
      <c r="D30" s="143">
        <f>+'Acct Detail ENTER DATA HERE'!H166+'Acct Detail ENTER DATA HERE'!H168+'Acct Detail ENTER DATA HERE'!H169+'Acct Detail ENTER DATA HERE'!H170+'Acct Detail ENTER DATA HERE'!H171+'Acct Detail ENTER DATA HERE'!H172+'Acct Detail ENTER DATA HERE'!H173+'Acct Detail ENTER DATA HERE'!H174+'Acct Detail ENTER DATA HERE'!H175+'Acct Detail ENTER DATA HERE'!H176+'Acct Detail ENTER DATA HERE'!H181+'Acct Detail ENTER DATA HERE'!H185+'Acct Detail ENTER DATA HERE'!H186+'Acct Detail ENTER DATA HERE'!H192+'Acct Detail ENTER DATA HERE'!H190</f>
        <v>354122</v>
      </c>
      <c r="E30" s="143">
        <f>+'Acct Detail ENTER DATA HERE'!I166+'Acct Detail ENTER DATA HERE'!I168+'Acct Detail ENTER DATA HERE'!I169+'Acct Detail ENTER DATA HERE'!I170+'Acct Detail ENTER DATA HERE'!I171+'Acct Detail ENTER DATA HERE'!I172+'Acct Detail ENTER DATA HERE'!I173+'Acct Detail ENTER DATA HERE'!I174+'Acct Detail ENTER DATA HERE'!I175+'Acct Detail ENTER DATA HERE'!I176+'Acct Detail ENTER DATA HERE'!I181+'Acct Detail ENTER DATA HERE'!I185+'Acct Detail ENTER DATA HERE'!I186+'Acct Detail ENTER DATA HERE'!I192+'Acct Detail ENTER DATA HERE'!I190</f>
        <v>327380</v>
      </c>
      <c r="F30" s="143">
        <f>+'Acct Detail ENTER DATA HERE'!J166+'Acct Detail ENTER DATA HERE'!J168+'Acct Detail ENTER DATA HERE'!J169+'Acct Detail ENTER DATA HERE'!J170+'Acct Detail ENTER DATA HERE'!J171+'Acct Detail ENTER DATA HERE'!J172+'Acct Detail ENTER DATA HERE'!J173+'Acct Detail ENTER DATA HERE'!J174+'Acct Detail ENTER DATA HERE'!J175+'Acct Detail ENTER DATA HERE'!J176+'Acct Detail ENTER DATA HERE'!J181+'Acct Detail ENTER DATA HERE'!J185+'Acct Detail ENTER DATA HERE'!J186+'Acct Detail ENTER DATA HERE'!J192+'Acct Detail ENTER DATA HERE'!J190</f>
        <v>238372</v>
      </c>
      <c r="G30" s="143">
        <f>+'Acct Detail ENTER DATA HERE'!K166+'Acct Detail ENTER DATA HERE'!K168+'Acct Detail ENTER DATA HERE'!K169+'Acct Detail ENTER DATA HERE'!K170+'Acct Detail ENTER DATA HERE'!K171+'Acct Detail ENTER DATA HERE'!K172+'Acct Detail ENTER DATA HERE'!K173+'Acct Detail ENTER DATA HERE'!K174+'Acct Detail ENTER DATA HERE'!K175+'Acct Detail ENTER DATA HERE'!K176+'Acct Detail ENTER DATA HERE'!K181+'Acct Detail ENTER DATA HERE'!K185+'Acct Detail ENTER DATA HERE'!K186+'Acct Detail ENTER DATA HERE'!K192+'Acct Detail ENTER DATA HERE'!K190</f>
        <v>312329.33333333331</v>
      </c>
      <c r="H30" s="143">
        <f>+'Acct Detail ENTER DATA HERE'!L166+'Acct Detail ENTER DATA HERE'!L168+'Acct Detail ENTER DATA HERE'!L169+'Acct Detail ENTER DATA HERE'!L170+'Acct Detail ENTER DATA HERE'!L171+'Acct Detail ENTER DATA HERE'!L172+'Acct Detail ENTER DATA HERE'!L173+'Acct Detail ENTER DATA HERE'!L174+'Acct Detail ENTER DATA HERE'!L175+'Acct Detail ENTER DATA HERE'!L176+'Acct Detail ENTER DATA HERE'!L181+'Acct Detail ENTER DATA HERE'!L185+'Acct Detail ENTER DATA HERE'!L186+'Acct Detail ENTER DATA HERE'!L192+'Acct Detail ENTER DATA HERE'!L190</f>
        <v>340751</v>
      </c>
      <c r="I30" s="148">
        <f>+'Acct Detail ENTER DATA HERE'!M166+'Acct Detail ENTER DATA HERE'!M168+'Acct Detail ENTER DATA HERE'!M169+'Acct Detail ENTER DATA HERE'!M170+'Acct Detail ENTER DATA HERE'!M171+'Acct Detail ENTER DATA HERE'!M172+'Acct Detail ENTER DATA HERE'!M173+'Acct Detail ENTER DATA HERE'!M174+'Acct Detail ENTER DATA HERE'!M175+'Acct Detail ENTER DATA HERE'!M176+'Acct Detail ENTER DATA HERE'!M181+'Acct Detail ENTER DATA HERE'!M185+'Acct Detail ENTER DATA HERE'!M186+'Acct Detail ENTER DATA HERE'!M192+'Acct Detail ENTER DATA HERE'!M190</f>
        <v>326200</v>
      </c>
      <c r="J30" s="135"/>
      <c r="K30" s="142">
        <f t="shared" ref="K30:K41" si="11">+I30-$D30</f>
        <v>-27922</v>
      </c>
      <c r="L30" s="16">
        <f t="shared" ref="L30:L44" si="12">IF($D30=0,"0%",I30/$D30)</f>
        <v>0.92115146757332222</v>
      </c>
      <c r="N30" s="142">
        <f t="shared" ref="N30:N41" si="13">+I30-$E30</f>
        <v>-1180</v>
      </c>
      <c r="O30" s="16">
        <f t="shared" ref="O30:O42" si="14">IF($E30=0,"0%",I30/$E30)</f>
        <v>0.99639562587818442</v>
      </c>
    </row>
    <row r="31" spans="1:15" x14ac:dyDescent="0.2">
      <c r="A31" s="10"/>
      <c r="B31" s="7"/>
      <c r="C31" s="10" t="s">
        <v>17</v>
      </c>
      <c r="D31" s="143">
        <f>+'Acct Detail ENTER DATA HERE'!H164</f>
        <v>493070</v>
      </c>
      <c r="E31" s="143">
        <f>+'Acct Detail ENTER DATA HERE'!I164</f>
        <v>535335</v>
      </c>
      <c r="F31" s="143">
        <f>+'Acct Detail ENTER DATA HERE'!J164</f>
        <v>376830</v>
      </c>
      <c r="G31" s="143">
        <f>+'Acct Detail ENTER DATA HERE'!K164</f>
        <v>452029.6</v>
      </c>
      <c r="H31" s="143">
        <f>+'Acct Detail ENTER DATA HERE'!L164</f>
        <v>514202.5</v>
      </c>
      <c r="I31" s="148">
        <f>+'Acct Detail ENTER DATA HERE'!M164</f>
        <v>418000</v>
      </c>
      <c r="J31" s="135"/>
      <c r="K31" s="142">
        <f t="shared" si="11"/>
        <v>-75070</v>
      </c>
      <c r="L31" s="16">
        <f t="shared" si="12"/>
        <v>0.84774981239986213</v>
      </c>
      <c r="N31" s="142">
        <f t="shared" si="13"/>
        <v>-117335</v>
      </c>
      <c r="O31" s="16">
        <f t="shared" si="14"/>
        <v>0.78081948686336589</v>
      </c>
    </row>
    <row r="32" spans="1:15" x14ac:dyDescent="0.2">
      <c r="A32" s="10"/>
      <c r="B32" s="7"/>
      <c r="C32" s="10" t="s">
        <v>18</v>
      </c>
      <c r="D32" s="143">
        <f>+'Acct Detail ENTER DATA HERE'!H140+'Acct Detail ENTER DATA HERE'!H124</f>
        <v>45026</v>
      </c>
      <c r="E32" s="143">
        <f>+'Acct Detail ENTER DATA HERE'!I140+'Acct Detail ENTER DATA HERE'!I124</f>
        <v>58149</v>
      </c>
      <c r="F32" s="143">
        <f>+'Acct Detail ENTER DATA HERE'!J140+'Acct Detail ENTER DATA HERE'!J124</f>
        <v>59405</v>
      </c>
      <c r="G32" s="143">
        <f>+'Acct Detail ENTER DATA HERE'!K140+'Acct Detail ENTER DATA HERE'!K124</f>
        <v>79206.666666666672</v>
      </c>
      <c r="H32" s="143">
        <f>+'Acct Detail ENTER DATA HERE'!L140+'Acct Detail ENTER DATA HERE'!L124</f>
        <v>51587.5</v>
      </c>
      <c r="I32" s="148">
        <f>+'Acct Detail ENTER DATA HERE'!M140+'Acct Detail ENTER DATA HERE'!M124</f>
        <v>90000</v>
      </c>
      <c r="J32" s="135"/>
      <c r="K32" s="142">
        <f t="shared" si="11"/>
        <v>44974</v>
      </c>
      <c r="L32" s="11">
        <f t="shared" si="12"/>
        <v>1.9988451117132324</v>
      </c>
      <c r="N32" s="142">
        <f t="shared" si="13"/>
        <v>31851</v>
      </c>
      <c r="O32" s="11">
        <f t="shared" si="14"/>
        <v>1.547748026621266</v>
      </c>
    </row>
    <row r="33" spans="1:15" x14ac:dyDescent="0.2">
      <c r="A33" s="10"/>
      <c r="B33" s="7"/>
      <c r="C33" s="17" t="s">
        <v>225</v>
      </c>
      <c r="D33" s="143">
        <f>'Acct Detail ENTER DATA HERE'!H145</f>
        <v>368331</v>
      </c>
      <c r="E33" s="143">
        <f>'Acct Detail ENTER DATA HERE'!I145</f>
        <v>50663</v>
      </c>
      <c r="F33" s="143">
        <f>'Acct Detail ENTER DATA HERE'!J145</f>
        <v>36370</v>
      </c>
      <c r="G33" s="143">
        <f>'Acct Detail ENTER DATA HERE'!K145</f>
        <v>48493.333333333336</v>
      </c>
      <c r="H33" s="143">
        <f>'Acct Detail ENTER DATA HERE'!L145</f>
        <v>209497</v>
      </c>
      <c r="I33" s="148">
        <f>'Acct Detail ENTER DATA HERE'!M145</f>
        <v>192000</v>
      </c>
      <c r="J33" s="135"/>
      <c r="K33" s="142">
        <f t="shared" si="11"/>
        <v>-176331</v>
      </c>
      <c r="L33" s="16">
        <f t="shared" si="12"/>
        <v>0.52127027049040131</v>
      </c>
      <c r="N33" s="142">
        <f t="shared" si="13"/>
        <v>141337</v>
      </c>
      <c r="O33" s="16">
        <f t="shared" si="14"/>
        <v>3.7897479422852971</v>
      </c>
    </row>
    <row r="34" spans="1:15" x14ac:dyDescent="0.2">
      <c r="A34" s="10"/>
      <c r="B34" s="7"/>
      <c r="C34" s="10" t="s">
        <v>19</v>
      </c>
      <c r="D34" s="143">
        <f>+'Acct Detail ENTER DATA HERE'!H127</f>
        <v>0</v>
      </c>
      <c r="E34" s="143">
        <f>+'Acct Detail ENTER DATA HERE'!I127</f>
        <v>0</v>
      </c>
      <c r="F34" s="143">
        <f>+'Acct Detail ENTER DATA HERE'!J127</f>
        <v>75</v>
      </c>
      <c r="G34" s="143">
        <f>+'Acct Detail ENTER DATA HERE'!K127</f>
        <v>100</v>
      </c>
      <c r="H34" s="143">
        <f>+'Acct Detail ENTER DATA HERE'!L127</f>
        <v>0</v>
      </c>
      <c r="I34" s="148">
        <f>+'Acct Detail ENTER DATA HERE'!M127</f>
        <v>10000</v>
      </c>
      <c r="J34" s="135"/>
      <c r="K34" s="142">
        <f t="shared" si="11"/>
        <v>10000</v>
      </c>
      <c r="L34" s="11" t="str">
        <f t="shared" si="12"/>
        <v>0%</v>
      </c>
      <c r="N34" s="142">
        <f t="shared" si="13"/>
        <v>10000</v>
      </c>
      <c r="O34" s="11" t="str">
        <f t="shared" si="14"/>
        <v>0%</v>
      </c>
    </row>
    <row r="35" spans="1:15" x14ac:dyDescent="0.2">
      <c r="A35" s="10"/>
      <c r="B35" s="7"/>
      <c r="C35" s="17" t="s">
        <v>20</v>
      </c>
      <c r="D35" s="143">
        <f>+'Acct Detail ENTER DATA HERE'!H125+'Acct Detail ENTER DATA HERE'!H147+'Acct Detail ENTER DATA HERE'!H148+'Acct Detail ENTER DATA HERE'!H150+'Acct Detail ENTER DATA HERE'!H151+0</f>
        <v>36948</v>
      </c>
      <c r="E35" s="143">
        <f>+'Acct Detail ENTER DATA HERE'!I125+'Acct Detail ENTER DATA HERE'!I147+'Acct Detail ENTER DATA HERE'!I148+'Acct Detail ENTER DATA HERE'!I150+'Acct Detail ENTER DATA HERE'!I151+0</f>
        <v>103222</v>
      </c>
      <c r="F35" s="143">
        <f>+'Acct Detail ENTER DATA HERE'!J125+'Acct Detail ENTER DATA HERE'!J147+'Acct Detail ENTER DATA HERE'!J148+'Acct Detail ENTER DATA HERE'!J150+'Acct Detail ENTER DATA HERE'!J151+0</f>
        <v>58299</v>
      </c>
      <c r="G35" s="143">
        <f>+'Acct Detail ENTER DATA HERE'!K125+'Acct Detail ENTER DATA HERE'!K147+'Acct Detail ENTER DATA HERE'!K148+'Acct Detail ENTER DATA HERE'!K150+'Acct Detail ENTER DATA HERE'!K151+0</f>
        <v>77732</v>
      </c>
      <c r="H35" s="143">
        <f>+'Acct Detail ENTER DATA HERE'!L125+'Acct Detail ENTER DATA HERE'!L147+'Acct Detail ENTER DATA HERE'!L148+'Acct Detail ENTER DATA HERE'!L150+'Acct Detail ENTER DATA HERE'!L151+0</f>
        <v>70085</v>
      </c>
      <c r="I35" s="148">
        <f>+'Acct Detail ENTER DATA HERE'!M125+'Acct Detail ENTER DATA HERE'!M147+'Acct Detail ENTER DATA HERE'!M148+'Acct Detail ENTER DATA HERE'!M150+'Acct Detail ENTER DATA HERE'!M151+0</f>
        <v>102400</v>
      </c>
      <c r="J35" s="135"/>
      <c r="K35" s="142">
        <f t="shared" si="11"/>
        <v>65452</v>
      </c>
      <c r="L35" s="11">
        <f t="shared" si="12"/>
        <v>2.7714625960809789</v>
      </c>
      <c r="N35" s="142">
        <f t="shared" si="13"/>
        <v>-822</v>
      </c>
      <c r="O35" s="11">
        <f t="shared" si="14"/>
        <v>0.99203658134893724</v>
      </c>
    </row>
    <row r="36" spans="1:15" x14ac:dyDescent="0.2">
      <c r="A36" s="10"/>
      <c r="B36" s="7"/>
      <c r="C36" s="17" t="s">
        <v>232</v>
      </c>
      <c r="D36" s="143">
        <f>+'Acct Detail ENTER DATA HERE'!H161-'Acct Detail ENTER DATA HERE'!H158</f>
        <v>393091</v>
      </c>
      <c r="E36" s="143">
        <f>+'Acct Detail ENTER DATA HERE'!I161-'Acct Detail ENTER DATA HERE'!I158</f>
        <v>148173</v>
      </c>
      <c r="F36" s="143">
        <f>+'Acct Detail ENTER DATA HERE'!J161-'Acct Detail ENTER DATA HERE'!J158</f>
        <v>0</v>
      </c>
      <c r="G36" s="143">
        <f>+'Acct Detail ENTER DATA HERE'!K161-'Acct Detail ENTER DATA HERE'!K158</f>
        <v>0</v>
      </c>
      <c r="H36" s="143">
        <f>+'Acct Detail ENTER DATA HERE'!L161-'Acct Detail ENTER DATA HERE'!L158</f>
        <v>270632</v>
      </c>
      <c r="I36" s="148">
        <f>+'Acct Detail ENTER DATA HERE'!M161-'Acct Detail ENTER DATA HERE'!M158</f>
        <v>250000</v>
      </c>
      <c r="J36" s="135"/>
      <c r="K36" s="142">
        <f t="shared" si="11"/>
        <v>-143091</v>
      </c>
      <c r="L36" s="16">
        <f t="shared" si="12"/>
        <v>0.63598505180734233</v>
      </c>
      <c r="N36" s="142">
        <f t="shared" si="13"/>
        <v>101827</v>
      </c>
      <c r="O36" s="16">
        <f t="shared" si="14"/>
        <v>1.6872169693533909</v>
      </c>
    </row>
    <row r="37" spans="1:15" x14ac:dyDescent="0.2">
      <c r="A37" s="10"/>
      <c r="B37" s="7"/>
      <c r="C37" s="17" t="s">
        <v>21</v>
      </c>
      <c r="D37" s="143">
        <f>+'Acct Detail ENTER DATA HERE'!H158+'Acct Detail ENTER DATA HERE'!H182+0</f>
        <v>11508</v>
      </c>
      <c r="E37" s="143">
        <f>+'Acct Detail ENTER DATA HERE'!I158+'Acct Detail ENTER DATA HERE'!I182+0</f>
        <v>4414</v>
      </c>
      <c r="F37" s="143">
        <f>+'Acct Detail ENTER DATA HERE'!J158+'Acct Detail ENTER DATA HERE'!J182+0</f>
        <v>18264</v>
      </c>
      <c r="G37" s="143">
        <f>+'Acct Detail ENTER DATA HERE'!K158+'Acct Detail ENTER DATA HERE'!K182+0</f>
        <v>24352</v>
      </c>
      <c r="H37" s="143">
        <f>+'Acct Detail ENTER DATA HERE'!L158+'Acct Detail ENTER DATA HERE'!L182+0</f>
        <v>7961</v>
      </c>
      <c r="I37" s="148">
        <f>+'Acct Detail ENTER DATA HERE'!M158+'Acct Detail ENTER DATA HERE'!M182+0</f>
        <v>15900</v>
      </c>
      <c r="J37" s="135"/>
      <c r="K37" s="142">
        <f t="shared" si="11"/>
        <v>4392</v>
      </c>
      <c r="L37" s="11">
        <f t="shared" si="12"/>
        <v>1.3816475495307612</v>
      </c>
      <c r="N37" s="142">
        <f t="shared" si="13"/>
        <v>11486</v>
      </c>
      <c r="O37" s="11">
        <f t="shared" si="14"/>
        <v>3.6021748980516537</v>
      </c>
    </row>
    <row r="38" spans="1:15" x14ac:dyDescent="0.2">
      <c r="A38" s="10"/>
      <c r="B38" s="7"/>
      <c r="C38" s="10" t="s">
        <v>22</v>
      </c>
      <c r="D38" s="143">
        <f>+'Acct Detail ENTER DATA HERE'!H142</f>
        <v>5367</v>
      </c>
      <c r="E38" s="143">
        <f>+'Acct Detail ENTER DATA HERE'!I142</f>
        <v>31078</v>
      </c>
      <c r="F38" s="143">
        <f>+'Acct Detail ENTER DATA HERE'!J142</f>
        <v>10547</v>
      </c>
      <c r="G38" s="143">
        <f>+'Acct Detail ENTER DATA HERE'!K142</f>
        <v>14062.666666666668</v>
      </c>
      <c r="H38" s="143">
        <f>+'Acct Detail ENTER DATA HERE'!L142</f>
        <v>18222.5</v>
      </c>
      <c r="I38" s="148">
        <f>+'Acct Detail ENTER DATA HERE'!M142</f>
        <v>18200</v>
      </c>
      <c r="J38" s="135"/>
      <c r="K38" s="142">
        <f t="shared" si="11"/>
        <v>12833</v>
      </c>
      <c r="L38" s="11">
        <f t="shared" si="12"/>
        <v>3.3910937208869014</v>
      </c>
      <c r="N38" s="142">
        <f t="shared" si="13"/>
        <v>-12878</v>
      </c>
      <c r="O38" s="11">
        <f t="shared" si="14"/>
        <v>0.58562327048072593</v>
      </c>
    </row>
    <row r="39" spans="1:15" x14ac:dyDescent="0.2">
      <c r="A39" s="12"/>
      <c r="B39" s="12"/>
      <c r="C39" s="17" t="s">
        <v>218</v>
      </c>
      <c r="D39" s="143">
        <f>+'Acct Detail ENTER DATA HERE'!H143</f>
        <v>81340</v>
      </c>
      <c r="E39" s="143">
        <f>+'Acct Detail ENTER DATA HERE'!I143</f>
        <v>50484</v>
      </c>
      <c r="F39" s="143">
        <f>+'Acct Detail ENTER DATA HERE'!J143</f>
        <v>14815</v>
      </c>
      <c r="G39" s="143">
        <f>+'Acct Detail ENTER DATA HERE'!K143</f>
        <v>19753.333333333332</v>
      </c>
      <c r="H39" s="143">
        <f>+'Acct Detail ENTER DATA HERE'!L143</f>
        <v>65912</v>
      </c>
      <c r="I39" s="148">
        <f>+'Acct Detail ENTER DATA HERE'!M143</f>
        <v>54000</v>
      </c>
      <c r="J39" s="135"/>
      <c r="K39" s="142">
        <f t="shared" si="11"/>
        <v>-27340</v>
      </c>
      <c r="L39" s="16">
        <f t="shared" si="12"/>
        <v>0.66388000983525941</v>
      </c>
      <c r="N39" s="142">
        <f t="shared" si="13"/>
        <v>3516</v>
      </c>
      <c r="O39" s="16">
        <f t="shared" si="14"/>
        <v>1.0696458283812693</v>
      </c>
    </row>
    <row r="40" spans="1:15" x14ac:dyDescent="0.2">
      <c r="A40" s="10"/>
      <c r="B40" s="12"/>
      <c r="C40" s="17" t="s">
        <v>23</v>
      </c>
      <c r="D40" s="143">
        <f>+'Acct Detail ENTER DATA HERE'!H141</f>
        <v>6169</v>
      </c>
      <c r="E40" s="143">
        <f>+'Acct Detail ENTER DATA HERE'!I141</f>
        <v>8361</v>
      </c>
      <c r="F40" s="143">
        <f>+'Acct Detail ENTER DATA HERE'!J141</f>
        <v>6405</v>
      </c>
      <c r="G40" s="143">
        <f>+'Acct Detail ENTER DATA HERE'!K141</f>
        <v>8540</v>
      </c>
      <c r="H40" s="143">
        <f>+'Acct Detail ENTER DATA HERE'!L141</f>
        <v>7265</v>
      </c>
      <c r="I40" s="148">
        <f>+'Acct Detail ENTER DATA HERE'!M141</f>
        <v>8500</v>
      </c>
      <c r="J40" s="135"/>
      <c r="K40" s="142">
        <f t="shared" si="11"/>
        <v>2331</v>
      </c>
      <c r="L40" s="16">
        <f t="shared" si="12"/>
        <v>1.3778570270708381</v>
      </c>
      <c r="N40" s="142">
        <f t="shared" si="13"/>
        <v>139</v>
      </c>
      <c r="O40" s="16">
        <f t="shared" si="14"/>
        <v>1.0166248056452578</v>
      </c>
    </row>
    <row r="41" spans="1:15" x14ac:dyDescent="0.2">
      <c r="A41" s="10"/>
      <c r="B41" s="12"/>
      <c r="C41" s="17" t="s">
        <v>24</v>
      </c>
      <c r="D41" s="143">
        <f>+'Acct Detail ENTER DATA HERE'!H129+'Acct Detail ENTER DATA HERE'!H130+'Acct Detail ENTER DATA HERE'!H131+'Acct Detail ENTER DATA HERE'!H162</f>
        <v>0</v>
      </c>
      <c r="E41" s="143">
        <f>+'Acct Detail ENTER DATA HERE'!I129+'Acct Detail ENTER DATA HERE'!I130+'Acct Detail ENTER DATA HERE'!I131+'Acct Detail ENTER DATA HERE'!I162</f>
        <v>4927</v>
      </c>
      <c r="F41" s="143">
        <f>+'Acct Detail ENTER DATA HERE'!J129+'Acct Detail ENTER DATA HERE'!J130+'Acct Detail ENTER DATA HERE'!J131+'Acct Detail ENTER DATA HERE'!J162</f>
        <v>536</v>
      </c>
      <c r="G41" s="143">
        <f>+'Acct Detail ENTER DATA HERE'!K129+'Acct Detail ENTER DATA HERE'!K130+'Acct Detail ENTER DATA HERE'!K131+'Acct Detail ENTER DATA HERE'!K162</f>
        <v>714.66666666666674</v>
      </c>
      <c r="H41" s="143">
        <f>+'Acct Detail ENTER DATA HERE'!L129+'Acct Detail ENTER DATA HERE'!L130+'Acct Detail ENTER DATA HERE'!L131+'Acct Detail ENTER DATA HERE'!L162</f>
        <v>334.5</v>
      </c>
      <c r="I41" s="148">
        <f>+'Acct Detail ENTER DATA HERE'!M129+'Acct Detail ENTER DATA HERE'!M130+'Acct Detail ENTER DATA HERE'!M131+'Acct Detail ENTER DATA HERE'!M162</f>
        <v>2500</v>
      </c>
      <c r="J41" s="135"/>
      <c r="K41" s="142">
        <f t="shared" si="11"/>
        <v>2500</v>
      </c>
      <c r="L41" s="11" t="str">
        <f t="shared" si="12"/>
        <v>0%</v>
      </c>
      <c r="N41" s="142">
        <f t="shared" si="13"/>
        <v>-2427</v>
      </c>
      <c r="O41" s="11">
        <f t="shared" si="14"/>
        <v>0.5074081591231987</v>
      </c>
    </row>
    <row r="42" spans="1:15" ht="13.5" thickBot="1" x14ac:dyDescent="0.25">
      <c r="A42" s="12"/>
      <c r="B42" s="12"/>
      <c r="C42" s="13" t="s">
        <v>25</v>
      </c>
      <c r="D42" s="149">
        <f t="shared" ref="D42:I42" si="15">SUM(D30:D41)</f>
        <v>1794972</v>
      </c>
      <c r="E42" s="149">
        <f t="shared" si="15"/>
        <v>1322186</v>
      </c>
      <c r="F42" s="149">
        <f t="shared" si="15"/>
        <v>819918</v>
      </c>
      <c r="G42" s="149">
        <f t="shared" si="15"/>
        <v>1037313.6</v>
      </c>
      <c r="H42" s="149">
        <f t="shared" si="15"/>
        <v>1556450</v>
      </c>
      <c r="I42" s="150">
        <f t="shared" si="15"/>
        <v>1487700</v>
      </c>
      <c r="J42" s="135"/>
      <c r="K42" s="149">
        <f>SUM(K30:K41)</f>
        <v>-307272</v>
      </c>
      <c r="L42" s="14">
        <f t="shared" si="12"/>
        <v>0.82881515700523467</v>
      </c>
      <c r="N42" s="149">
        <f>SUM(N30:N41)</f>
        <v>165514</v>
      </c>
      <c r="O42" s="14">
        <f t="shared" si="14"/>
        <v>1.1251820848201388</v>
      </c>
    </row>
    <row r="43" spans="1:15" ht="5.0999999999999996" customHeight="1" x14ac:dyDescent="0.2">
      <c r="A43" s="12"/>
      <c r="B43" s="12"/>
      <c r="C43" s="12"/>
      <c r="D43" s="135"/>
      <c r="E43" s="135"/>
      <c r="F43" s="135"/>
      <c r="G43" s="135"/>
      <c r="H43" s="135"/>
      <c r="I43" s="154"/>
      <c r="J43" s="135"/>
      <c r="K43" s="135"/>
      <c r="L43" s="18"/>
      <c r="N43" s="135"/>
      <c r="O43" s="18"/>
    </row>
    <row r="44" spans="1:15" ht="13.5" thickBot="1" x14ac:dyDescent="0.25">
      <c r="A44" s="12"/>
      <c r="B44" s="7" t="s">
        <v>26</v>
      </c>
      <c r="C44" s="10"/>
      <c r="D44" s="149">
        <f t="shared" ref="D44:I44" si="16">+D27-D42</f>
        <v>272463</v>
      </c>
      <c r="E44" s="149">
        <f t="shared" si="16"/>
        <v>-206412</v>
      </c>
      <c r="F44" s="149">
        <f>+F27-F42</f>
        <v>72371</v>
      </c>
      <c r="G44" s="149">
        <f>+G27-G42</f>
        <v>133427.06666666677</v>
      </c>
      <c r="H44" s="149">
        <f t="shared" si="16"/>
        <v>35154.5</v>
      </c>
      <c r="I44" s="150">
        <f t="shared" si="16"/>
        <v>0</v>
      </c>
      <c r="J44" s="135"/>
      <c r="K44" s="149">
        <f>+I44-D44</f>
        <v>-272463</v>
      </c>
      <c r="L44" s="14">
        <f t="shared" si="12"/>
        <v>0</v>
      </c>
      <c r="N44" s="149">
        <f>+I44-E44</f>
        <v>206412</v>
      </c>
      <c r="O44" s="14">
        <f>IF($E44=0,"0%",I44/$E44)</f>
        <v>0</v>
      </c>
    </row>
    <row r="45" spans="1:15" s="20" customFormat="1" ht="11.25" x14ac:dyDescent="0.2">
      <c r="C45" s="95" t="s">
        <v>233</v>
      </c>
      <c r="D45" s="155">
        <f>+'Acct Detail ENTER DATA HERE'!H204+'Acct Detail ENTER DATA HERE'!H205</f>
        <v>129960</v>
      </c>
      <c r="E45" s="155">
        <f>+'Acct Detail ENTER DATA HERE'!I204+'Acct Detail ENTER DATA HERE'!I205</f>
        <v>30925</v>
      </c>
      <c r="F45" s="155">
        <f>+'Acct Detail ENTER DATA HERE'!J204+'Acct Detail ENTER DATA HERE'!J205</f>
        <v>34306</v>
      </c>
      <c r="G45" s="155">
        <f>+'Acct Detail ENTER DATA HERE'!K204+'Acct Detail ENTER DATA HERE'!K205</f>
        <v>34306</v>
      </c>
      <c r="H45" s="155">
        <f>+'Acct Detail ENTER DATA HERE'!L204+'Acct Detail ENTER DATA HERE'!L205</f>
        <v>80442.5</v>
      </c>
      <c r="I45" s="156">
        <f>+'Acct Detail ENTER DATA HERE'!M204+'Acct Detail ENTER DATA HERE'!M205</f>
        <v>33734</v>
      </c>
      <c r="J45" s="155"/>
      <c r="K45" s="155"/>
      <c r="N45" s="155"/>
    </row>
    <row r="46" spans="1:15" s="20" customFormat="1" ht="11.25" x14ac:dyDescent="0.2">
      <c r="C46" s="95" t="s">
        <v>229</v>
      </c>
      <c r="D46" s="155">
        <f>'Acct Detail ENTER DATA HERE'!H206</f>
        <v>33400</v>
      </c>
      <c r="E46" s="155">
        <f>'Acct Detail ENTER DATA HERE'!I206</f>
        <v>68800</v>
      </c>
      <c r="F46" s="155">
        <f>'Acct Detail ENTER DATA HERE'!J206</f>
        <v>72000</v>
      </c>
      <c r="G46" s="155">
        <f>'Acct Detail ENTER DATA HERE'!K206</f>
        <v>72000</v>
      </c>
      <c r="H46" s="155">
        <f>'Acct Detail ENTER DATA HERE'!L206</f>
        <v>0</v>
      </c>
      <c r="I46" s="156">
        <f>'Acct Detail ENTER DATA HERE'!M206</f>
        <v>48545.68</v>
      </c>
      <c r="J46" s="155"/>
      <c r="K46" s="155"/>
      <c r="N46" s="155"/>
    </row>
    <row r="47" spans="1:15" s="20" customFormat="1" ht="12" thickBot="1" x14ac:dyDescent="0.25">
      <c r="C47" s="95" t="s">
        <v>261</v>
      </c>
      <c r="D47" s="155"/>
      <c r="E47" s="155">
        <f>'Acct Detail ENTER DATA HERE'!I207</f>
        <v>49323</v>
      </c>
      <c r="F47" s="155"/>
      <c r="G47" s="155"/>
      <c r="H47" s="155"/>
      <c r="I47" s="156">
        <f>'Acct Detail ENTER DATA HERE'!M207</f>
        <v>0</v>
      </c>
      <c r="J47" s="155"/>
      <c r="K47" s="155"/>
      <c r="N47" s="155"/>
    </row>
    <row r="48" spans="1:15" s="96" customFormat="1" ht="12" thickBot="1" x14ac:dyDescent="0.25">
      <c r="B48" s="7" t="s">
        <v>219</v>
      </c>
      <c r="D48" s="157">
        <f>+'Acct Detail ENTER DATA HERE'!H208</f>
        <v>258078</v>
      </c>
      <c r="E48" s="157">
        <f>+'Acct Detail ENTER DATA HERE'!I208</f>
        <v>-212173</v>
      </c>
      <c r="F48" s="157">
        <f>+'Acct Detail ENTER DATA HERE'!J208</f>
        <v>20945</v>
      </c>
      <c r="G48" s="157">
        <f>+'Acct Detail ENTER DATA HERE'!K208</f>
        <v>83823.066666666651</v>
      </c>
      <c r="H48" s="157">
        <f>+'Acct Detail ENTER DATA HERE'!L208</f>
        <v>24494</v>
      </c>
      <c r="I48" s="158">
        <f>+'Acct Detail ENTER DATA HERE'!M208</f>
        <v>-15000</v>
      </c>
      <c r="J48" s="157"/>
      <c r="K48" s="157">
        <f>+I48-D48</f>
        <v>-273078</v>
      </c>
      <c r="L48" s="97">
        <f>IF($D48=0,"0%",I48/$D48)</f>
        <v>-5.8121963127426589E-2</v>
      </c>
      <c r="N48" s="157">
        <f>+I48-E48</f>
        <v>197173</v>
      </c>
      <c r="O48" s="97">
        <f>IF($E48=0,"0%",I48/$E48)</f>
        <v>7.0697025540478756E-2</v>
      </c>
    </row>
    <row r="49" spans="2:15" s="96" customFormat="1" ht="11.25" x14ac:dyDescent="0.2">
      <c r="B49" s="7" t="s">
        <v>248</v>
      </c>
      <c r="D49" s="157">
        <f>+'Acct Detail ENTER DATA HERE'!H209</f>
        <v>250118</v>
      </c>
      <c r="E49" s="157">
        <f>+'Acct Detail ENTER DATA HERE'!I209</f>
        <v>-237598</v>
      </c>
      <c r="F49" s="157">
        <f>+'Acct Detail ENTER DATA HERE'!J209</f>
        <v>13639</v>
      </c>
      <c r="G49" s="157">
        <f>+'Acct Detail ENTER DATA HERE'!K209</f>
        <v>76517.066666666651</v>
      </c>
      <c r="H49" s="157">
        <f>+'Acct Detail ENTER DATA HERE'!L209</f>
        <v>7801.5</v>
      </c>
      <c r="I49" s="158">
        <f>+'Acct Detail ENTER DATA HERE'!M209</f>
        <v>14811.68</v>
      </c>
      <c r="J49" s="157"/>
      <c r="K49" s="157">
        <f>+I49-D49</f>
        <v>-235306.32</v>
      </c>
      <c r="L49" s="97">
        <f>IF($D49=0,"0%",I49/$D49)</f>
        <v>5.9218768741154178E-2</v>
      </c>
      <c r="N49" s="157">
        <f>+I49-E49</f>
        <v>252409.68</v>
      </c>
      <c r="O49" s="97">
        <f>IF($E49=0,"0%",I49/$E49)</f>
        <v>-6.2339245279842422E-2</v>
      </c>
    </row>
    <row r="50" spans="2:15" s="65" customFormat="1" ht="11.25" x14ac:dyDescent="0.2">
      <c r="C50" s="98" t="s">
        <v>228</v>
      </c>
      <c r="D50" s="99">
        <f>+D44-'Acct Detail ENTER DATA HERE'!H203</f>
        <v>0</v>
      </c>
      <c r="E50" s="99">
        <f>+E44-'Acct Detail ENTER DATA HERE'!I203</f>
        <v>0</v>
      </c>
      <c r="F50" s="99">
        <f>+F44-'Acct Detail ENTER DATA HERE'!J203</f>
        <v>14223</v>
      </c>
      <c r="G50" s="99">
        <f>+G44-'Acct Detail ENTER DATA HERE'!K203</f>
        <v>0</v>
      </c>
      <c r="H50" s="99">
        <f>+H44-'Acct Detail ENTER DATA HERE'!L203</f>
        <v>0</v>
      </c>
      <c r="I50" s="99">
        <f>+I44-'Acct Detail ENTER DATA HERE'!M203</f>
        <v>0</v>
      </c>
    </row>
  </sheetData>
  <sheetProtection sheet="1" selectLockedCells="1" selectUnlockedCells="1"/>
  <mergeCells count="5">
    <mergeCell ref="A1:O1"/>
    <mergeCell ref="A2:O2"/>
    <mergeCell ref="G4:G5"/>
    <mergeCell ref="I4:I5"/>
    <mergeCell ref="H4:H5"/>
  </mergeCells>
  <phoneticPr fontId="12" type="noConversion"/>
  <printOptions horizontalCentered="1"/>
  <pageMargins left="0.25" right="0.25" top="0.5" bottom="0.47" header="0.51180555555555596" footer="0.51180555555555596"/>
  <pageSetup scale="9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2"/>
  <sheetViews>
    <sheetView zoomScale="110" zoomScaleNormal="110" zoomScaleSheetLayoutView="100" workbookViewId="0">
      <pane xSplit="7" ySplit="6" topLeftCell="H7" activePane="bottomRight" state="frozen"/>
      <selection pane="topRight" activeCell="I1" sqref="I1"/>
      <selection pane="bottomLeft" activeCell="A6" sqref="A6"/>
      <selection pane="bottomRight"/>
    </sheetView>
  </sheetViews>
  <sheetFormatPr defaultColWidth="8.7109375" defaultRowHeight="12.75" outlineLevelRow="4" x14ac:dyDescent="0.2"/>
  <cols>
    <col min="1" max="6" width="1.42578125" style="62" customWidth="1"/>
    <col min="7" max="7" width="31.140625" style="62" customWidth="1"/>
    <col min="8" max="12" width="11.85546875" style="71" customWidth="1"/>
    <col min="13" max="13" width="11.85546875" style="94" customWidth="1"/>
    <col min="14" max="14" width="1.28515625" style="63" hidden="1" customWidth="1"/>
    <col min="15" max="15" width="0.85546875" style="105" customWidth="1"/>
    <col min="16" max="16" width="5.140625" style="45" customWidth="1"/>
    <col min="17" max="17" width="4.5703125" style="171" bestFit="1" customWidth="1"/>
    <col min="18" max="18" width="46.42578125" style="162" customWidth="1"/>
    <col min="19" max="16384" width="8.7109375" style="37"/>
  </cols>
  <sheetData>
    <row r="1" spans="1:21" s="35" customFormat="1" ht="15.75" x14ac:dyDescent="0.25">
      <c r="A1" s="31" t="s">
        <v>0</v>
      </c>
      <c r="B1" s="32"/>
      <c r="C1" s="32"/>
      <c r="D1" s="32"/>
      <c r="E1" s="32"/>
      <c r="F1" s="32"/>
      <c r="G1" s="32"/>
      <c r="H1" s="67"/>
      <c r="I1" s="67"/>
      <c r="J1" s="67"/>
      <c r="K1" s="67"/>
      <c r="L1" s="67"/>
      <c r="M1" s="68"/>
      <c r="N1" s="33"/>
      <c r="O1" s="101"/>
      <c r="P1" s="34"/>
      <c r="Q1" s="171"/>
      <c r="R1" s="161"/>
    </row>
    <row r="2" spans="1:21" ht="27.95" customHeight="1" x14ac:dyDescent="0.25">
      <c r="A2" s="36" t="s">
        <v>352</v>
      </c>
      <c r="B2" s="32"/>
      <c r="C2" s="32"/>
      <c r="D2" s="32"/>
      <c r="E2" s="32"/>
      <c r="F2" s="32"/>
      <c r="G2" s="32"/>
      <c r="H2" s="67"/>
      <c r="I2" s="67"/>
      <c r="J2" s="67"/>
      <c r="K2" s="67"/>
      <c r="L2" s="67"/>
      <c r="M2" s="125" t="s">
        <v>241</v>
      </c>
      <c r="N2" s="33"/>
      <c r="O2" s="101"/>
      <c r="P2" s="34"/>
    </row>
    <row r="3" spans="1:21" ht="18" hidden="1" customHeight="1" x14ac:dyDescent="0.2">
      <c r="A3" s="38" t="s">
        <v>188</v>
      </c>
      <c r="B3" s="32"/>
      <c r="C3" s="32"/>
      <c r="D3" s="32"/>
      <c r="E3" s="32"/>
      <c r="F3" s="32"/>
      <c r="G3" s="32"/>
      <c r="H3" s="67"/>
      <c r="I3" s="67"/>
      <c r="J3" s="67"/>
      <c r="K3" s="67"/>
      <c r="L3" s="67"/>
      <c r="M3" s="68"/>
      <c r="N3" s="33"/>
      <c r="O3" s="101"/>
      <c r="P3" s="34"/>
    </row>
    <row r="4" spans="1:21" ht="16.5" hidden="1" customHeight="1" x14ac:dyDescent="0.2">
      <c r="A4" s="39" t="s">
        <v>203</v>
      </c>
      <c r="B4" s="40"/>
      <c r="C4" s="40"/>
      <c r="D4" s="40"/>
      <c r="E4" s="40"/>
      <c r="F4" s="40"/>
      <c r="G4" s="40"/>
      <c r="H4" s="69"/>
      <c r="I4" s="69"/>
      <c r="J4" s="69"/>
      <c r="K4" s="69"/>
      <c r="L4" s="69"/>
      <c r="M4" s="70"/>
      <c r="N4" s="41"/>
      <c r="O4" s="102"/>
      <c r="P4" s="42"/>
      <c r="Q4" s="172"/>
    </row>
    <row r="5" spans="1:21" ht="6" hidden="1" customHeight="1" thickBot="1" x14ac:dyDescent="0.25">
      <c r="A5" s="43"/>
      <c r="B5" s="44"/>
      <c r="C5" s="44"/>
      <c r="D5" s="44"/>
      <c r="E5" s="44"/>
      <c r="F5" s="44"/>
      <c r="G5" s="44"/>
      <c r="K5" s="188" t="s">
        <v>267</v>
      </c>
      <c r="M5" s="190" t="s">
        <v>266</v>
      </c>
      <c r="N5" s="186"/>
      <c r="O5" s="187"/>
    </row>
    <row r="6" spans="1:21" s="46" customFormat="1" ht="24" customHeight="1" thickBot="1" x14ac:dyDescent="0.25">
      <c r="A6" s="44"/>
      <c r="B6" s="44"/>
      <c r="C6" s="44"/>
      <c r="D6" s="44"/>
      <c r="E6" s="44"/>
      <c r="F6" s="44"/>
      <c r="G6" s="44"/>
      <c r="H6" s="72" t="s">
        <v>270</v>
      </c>
      <c r="I6" s="72" t="s">
        <v>269</v>
      </c>
      <c r="J6" s="72" t="s">
        <v>279</v>
      </c>
      <c r="K6" s="189"/>
      <c r="L6" s="73" t="s">
        <v>268</v>
      </c>
      <c r="M6" s="191"/>
      <c r="N6" s="186"/>
      <c r="O6" s="187"/>
      <c r="P6" s="118" t="s">
        <v>240</v>
      </c>
      <c r="Q6" s="163" t="s">
        <v>27</v>
      </c>
      <c r="R6" s="164" t="s">
        <v>242</v>
      </c>
    </row>
    <row r="7" spans="1:21" ht="14.1" customHeight="1" outlineLevel="2" thickTop="1" x14ac:dyDescent="0.2">
      <c r="A7" s="47"/>
      <c r="B7" s="47" t="s">
        <v>28</v>
      </c>
      <c r="C7" s="47"/>
      <c r="D7" s="47"/>
      <c r="E7" s="47"/>
      <c r="F7" s="47"/>
      <c r="G7" s="47"/>
      <c r="H7" s="74"/>
      <c r="I7" s="74"/>
      <c r="J7" s="74"/>
      <c r="K7" s="75"/>
      <c r="L7" s="74"/>
      <c r="M7" s="76"/>
      <c r="N7" s="48"/>
      <c r="O7" s="100"/>
      <c r="P7" s="49"/>
      <c r="Q7" s="173"/>
    </row>
    <row r="8" spans="1:21" ht="14.1" customHeight="1" outlineLevel="4" x14ac:dyDescent="0.2">
      <c r="A8" s="47"/>
      <c r="B8" s="47"/>
      <c r="C8" s="47"/>
      <c r="D8" s="47" t="s">
        <v>29</v>
      </c>
      <c r="E8" s="47"/>
      <c r="F8" s="47"/>
      <c r="G8" s="47"/>
      <c r="H8" s="74"/>
      <c r="I8" s="74"/>
      <c r="J8" s="74"/>
      <c r="K8" s="75"/>
      <c r="L8" s="74"/>
      <c r="M8" s="76"/>
      <c r="N8" s="48"/>
      <c r="O8" s="100"/>
      <c r="P8" s="49"/>
      <c r="Q8" s="173"/>
    </row>
    <row r="9" spans="1:21" ht="14.1" customHeight="1" outlineLevel="4" x14ac:dyDescent="0.2">
      <c r="A9" s="47"/>
      <c r="B9" s="47"/>
      <c r="C9" s="47"/>
      <c r="D9" s="47"/>
      <c r="E9" s="47" t="s">
        <v>30</v>
      </c>
      <c r="F9" s="47"/>
      <c r="G9" s="47"/>
      <c r="H9" s="74"/>
      <c r="I9" s="74"/>
      <c r="J9" s="74"/>
      <c r="K9" s="75"/>
      <c r="L9" s="74"/>
      <c r="M9" s="76"/>
      <c r="N9" s="48"/>
      <c r="O9" s="100"/>
      <c r="P9" s="49"/>
      <c r="Q9" s="173"/>
    </row>
    <row r="10" spans="1:21" ht="14.1" customHeight="1" outlineLevel="4" x14ac:dyDescent="0.2">
      <c r="A10" s="47"/>
      <c r="B10" s="47"/>
      <c r="C10" s="47"/>
      <c r="D10" s="47"/>
      <c r="E10" s="47"/>
      <c r="F10" s="47" t="s">
        <v>31</v>
      </c>
      <c r="G10" s="47"/>
      <c r="H10" s="74"/>
      <c r="I10" s="74"/>
      <c r="J10" s="74"/>
      <c r="K10" s="75"/>
      <c r="L10" s="74"/>
      <c r="M10" s="76"/>
      <c r="N10" s="48"/>
      <c r="O10" s="100"/>
      <c r="P10" s="49"/>
      <c r="Q10" s="173"/>
      <c r="R10" s="165"/>
      <c r="T10" s="131">
        <v>1</v>
      </c>
      <c r="U10" s="49" t="s">
        <v>348</v>
      </c>
    </row>
    <row r="11" spans="1:21" ht="14.1" customHeight="1" outlineLevel="4" x14ac:dyDescent="0.2">
      <c r="A11" s="47"/>
      <c r="B11" s="47"/>
      <c r="C11" s="47"/>
      <c r="D11" s="47"/>
      <c r="E11" s="47"/>
      <c r="F11" s="47"/>
      <c r="G11" s="47" t="s">
        <v>32</v>
      </c>
      <c r="H11" s="74">
        <v>347690</v>
      </c>
      <c r="I11" s="74">
        <f>77810+76515</f>
        <v>154325</v>
      </c>
      <c r="J11" s="74">
        <v>19174</v>
      </c>
      <c r="K11" s="75">
        <f>+(J11/9)*12</f>
        <v>25565.333333333332</v>
      </c>
      <c r="L11" s="74">
        <f>(+H11+I11)/2</f>
        <v>251007.5</v>
      </c>
      <c r="M11" s="76">
        <f>ROUNDDOWN(I11,-2)</f>
        <v>154300</v>
      </c>
      <c r="N11" s="48">
        <f t="shared" ref="N11:O15" si="0">+M11</f>
        <v>154300</v>
      </c>
      <c r="O11" s="100">
        <f t="shared" si="0"/>
        <v>154300</v>
      </c>
      <c r="P11" s="120">
        <v>21</v>
      </c>
      <c r="Q11" s="174" t="s">
        <v>293</v>
      </c>
      <c r="R11" s="166" t="s">
        <v>302</v>
      </c>
    </row>
    <row r="12" spans="1:21" ht="14.1" customHeight="1" outlineLevel="4" x14ac:dyDescent="0.2">
      <c r="A12" s="47"/>
      <c r="B12" s="47"/>
      <c r="C12" s="47"/>
      <c r="D12" s="47"/>
      <c r="E12" s="47"/>
      <c r="F12" s="47"/>
      <c r="G12" s="47" t="s">
        <v>33</v>
      </c>
      <c r="H12" s="74">
        <v>2660</v>
      </c>
      <c r="I12" s="74">
        <v>10764</v>
      </c>
      <c r="J12" s="74">
        <v>2080</v>
      </c>
      <c r="K12" s="75">
        <f>+(J12/9)*12</f>
        <v>2773.3333333333335</v>
      </c>
      <c r="L12" s="74">
        <f>(+H12+I12)/2</f>
        <v>6712</v>
      </c>
      <c r="M12" s="76">
        <f>ROUNDDOWN(I12,-2)</f>
        <v>10700</v>
      </c>
      <c r="N12" s="48">
        <f t="shared" si="0"/>
        <v>10700</v>
      </c>
      <c r="O12" s="100">
        <f t="shared" si="0"/>
        <v>10700</v>
      </c>
      <c r="P12" s="120">
        <v>20</v>
      </c>
      <c r="Q12" s="174" t="s">
        <v>293</v>
      </c>
      <c r="R12" s="166" t="s">
        <v>302</v>
      </c>
    </row>
    <row r="13" spans="1:21" ht="14.1" customHeight="1" outlineLevel="4" x14ac:dyDescent="0.2">
      <c r="A13" s="47"/>
      <c r="B13" s="47"/>
      <c r="C13" s="47"/>
      <c r="D13" s="47"/>
      <c r="E13" s="47"/>
      <c r="F13" s="47"/>
      <c r="G13" s="47" t="s">
        <v>213</v>
      </c>
      <c r="H13" s="74">
        <v>875</v>
      </c>
      <c r="I13" s="74">
        <v>460</v>
      </c>
      <c r="J13" s="74">
        <v>275</v>
      </c>
      <c r="K13" s="75">
        <f>+(J13/9)*12</f>
        <v>366.66666666666669</v>
      </c>
      <c r="L13" s="74">
        <f>(+H13+I13)/2</f>
        <v>667.5</v>
      </c>
      <c r="M13" s="76">
        <f>ROUNDDOWN(I13,-2)</f>
        <v>400</v>
      </c>
      <c r="N13" s="48">
        <f t="shared" si="0"/>
        <v>400</v>
      </c>
      <c r="O13" s="100">
        <f t="shared" si="0"/>
        <v>400</v>
      </c>
      <c r="P13" s="120">
        <v>20</v>
      </c>
      <c r="Q13" s="174" t="s">
        <v>293</v>
      </c>
      <c r="R13" s="166" t="s">
        <v>302</v>
      </c>
    </row>
    <row r="14" spans="1:21" ht="14.1" customHeight="1" outlineLevel="4" x14ac:dyDescent="0.2">
      <c r="A14" s="47"/>
      <c r="B14" s="47"/>
      <c r="C14" s="47"/>
      <c r="D14" s="47"/>
      <c r="E14" s="47"/>
      <c r="F14" s="47"/>
      <c r="G14" s="47" t="s">
        <v>34</v>
      </c>
      <c r="H14" s="74">
        <v>177470</v>
      </c>
      <c r="I14" s="74">
        <v>204593</v>
      </c>
      <c r="J14" s="74">
        <v>109192</v>
      </c>
      <c r="K14" s="75">
        <f>+(J14/9)*12</f>
        <v>145589.33333333334</v>
      </c>
      <c r="L14" s="74">
        <f>(+H14+I14)/2</f>
        <v>191031.5</v>
      </c>
      <c r="M14" s="76">
        <f>ROUNDDOWN(K14*$T$10,-2)</f>
        <v>145500</v>
      </c>
      <c r="N14" s="48">
        <f t="shared" si="0"/>
        <v>145500</v>
      </c>
      <c r="O14" s="100">
        <f t="shared" si="0"/>
        <v>145500</v>
      </c>
      <c r="P14" s="120">
        <v>20</v>
      </c>
      <c r="Q14" s="174" t="s">
        <v>296</v>
      </c>
      <c r="R14" s="166" t="s">
        <v>297</v>
      </c>
    </row>
    <row r="15" spans="1:21" ht="14.1" customHeight="1" outlineLevel="4" thickBot="1" x14ac:dyDescent="0.25">
      <c r="A15" s="47"/>
      <c r="B15" s="47"/>
      <c r="C15" s="47"/>
      <c r="D15" s="47"/>
      <c r="E15" s="47"/>
      <c r="F15" s="47"/>
      <c r="G15" s="47" t="s">
        <v>35</v>
      </c>
      <c r="H15" s="74">
        <v>31529</v>
      </c>
      <c r="I15" s="74">
        <v>22806</v>
      </c>
      <c r="J15" s="74">
        <v>2635</v>
      </c>
      <c r="K15" s="75">
        <f>+(J15/9)*12</f>
        <v>3513.333333333333</v>
      </c>
      <c r="L15" s="74">
        <f>(+H15+I15)/2</f>
        <v>27167.5</v>
      </c>
      <c r="M15" s="76">
        <f>ROUNDDOWN(L15*$T$10,-2)</f>
        <v>27100</v>
      </c>
      <c r="N15" s="48">
        <f t="shared" si="0"/>
        <v>27100</v>
      </c>
      <c r="O15" s="100">
        <f t="shared" si="0"/>
        <v>27100</v>
      </c>
      <c r="P15" s="120">
        <v>20</v>
      </c>
      <c r="Q15" s="174" t="s">
        <v>294</v>
      </c>
      <c r="R15" s="166" t="s">
        <v>314</v>
      </c>
    </row>
    <row r="16" spans="1:21" ht="14.1" hidden="1" customHeight="1" outlineLevel="4" thickBot="1" x14ac:dyDescent="0.25">
      <c r="A16" s="47"/>
      <c r="B16" s="47"/>
      <c r="C16" s="47"/>
      <c r="D16" s="47"/>
      <c r="E16" s="47"/>
      <c r="F16" s="47"/>
      <c r="G16" s="47" t="s">
        <v>36</v>
      </c>
      <c r="H16" s="77">
        <v>0</v>
      </c>
      <c r="I16" s="77">
        <v>0</v>
      </c>
      <c r="J16" s="77">
        <v>0</v>
      </c>
      <c r="K16" s="78">
        <v>0</v>
      </c>
      <c r="L16" s="77">
        <v>0</v>
      </c>
      <c r="M16" s="79">
        <v>0</v>
      </c>
      <c r="N16" s="50">
        <v>0</v>
      </c>
      <c r="O16" s="100">
        <v>0</v>
      </c>
      <c r="P16" s="120"/>
      <c r="Q16" s="173"/>
    </row>
    <row r="17" spans="1:18" ht="14.1" customHeight="1" outlineLevel="4" x14ac:dyDescent="0.2">
      <c r="A17" s="47"/>
      <c r="B17" s="47"/>
      <c r="C17" s="47"/>
      <c r="D17" s="47"/>
      <c r="E17" s="47"/>
      <c r="F17" s="47" t="s">
        <v>37</v>
      </c>
      <c r="G17" s="47"/>
      <c r="H17" s="80">
        <f>SUM(H11:H16)</f>
        <v>560224</v>
      </c>
      <c r="I17" s="80">
        <f>SUM(I11:I16)</f>
        <v>392948</v>
      </c>
      <c r="J17" s="80">
        <f t="shared" ref="J17:O17" si="1">SUM(J11:J16)</f>
        <v>133356</v>
      </c>
      <c r="K17" s="81">
        <f t="shared" si="1"/>
        <v>177808.00000000003</v>
      </c>
      <c r="L17" s="81">
        <f t="shared" si="1"/>
        <v>476586</v>
      </c>
      <c r="M17" s="82">
        <f t="shared" si="1"/>
        <v>338000</v>
      </c>
      <c r="N17" s="51">
        <f t="shared" si="1"/>
        <v>338000</v>
      </c>
      <c r="O17" s="100">
        <f t="shared" si="1"/>
        <v>338000</v>
      </c>
      <c r="P17" s="120"/>
      <c r="Q17" s="173"/>
    </row>
    <row r="18" spans="1:18" ht="14.1" customHeight="1" outlineLevel="4" x14ac:dyDescent="0.2">
      <c r="A18" s="47"/>
      <c r="B18" s="47"/>
      <c r="C18" s="47"/>
      <c r="D18" s="47"/>
      <c r="E18" s="47"/>
      <c r="F18" s="47" t="s">
        <v>38</v>
      </c>
      <c r="G18" s="47"/>
      <c r="H18" s="74"/>
      <c r="I18" s="74"/>
      <c r="J18" s="74"/>
      <c r="K18" s="75"/>
      <c r="L18" s="74"/>
      <c r="M18" s="76"/>
      <c r="N18" s="48"/>
      <c r="O18" s="100"/>
      <c r="P18" s="120"/>
      <c r="Q18" s="173"/>
    </row>
    <row r="19" spans="1:18" ht="14.1" customHeight="1" outlineLevel="4" x14ac:dyDescent="0.2">
      <c r="A19" s="47"/>
      <c r="B19" s="47"/>
      <c r="C19" s="47"/>
      <c r="D19" s="47"/>
      <c r="E19" s="47"/>
      <c r="F19" s="47"/>
      <c r="G19" s="47" t="s">
        <v>39</v>
      </c>
      <c r="H19" s="74">
        <v>0</v>
      </c>
      <c r="I19" s="74">
        <v>7012</v>
      </c>
      <c r="J19" s="74">
        <v>505</v>
      </c>
      <c r="K19" s="75">
        <f>+(J19/9)*12</f>
        <v>673.33333333333337</v>
      </c>
      <c r="L19" s="74">
        <f>(+H19+I19)/2</f>
        <v>3506</v>
      </c>
      <c r="M19" s="76">
        <f>ROUNDDOWN(K19*$T$10,-2)</f>
        <v>600</v>
      </c>
      <c r="N19" s="48">
        <f t="shared" ref="N19:O21" si="2">+M19</f>
        <v>600</v>
      </c>
      <c r="O19" s="100">
        <f t="shared" si="2"/>
        <v>600</v>
      </c>
      <c r="P19" s="120">
        <v>23</v>
      </c>
      <c r="Q19" s="174" t="s">
        <v>296</v>
      </c>
      <c r="R19" s="166" t="s">
        <v>297</v>
      </c>
    </row>
    <row r="20" spans="1:18" ht="14.1" customHeight="1" outlineLevel="4" x14ac:dyDescent="0.2">
      <c r="A20" s="47"/>
      <c r="B20" s="47"/>
      <c r="C20" s="47"/>
      <c r="D20" s="47"/>
      <c r="E20" s="47"/>
      <c r="F20" s="47"/>
      <c r="G20" s="47" t="s">
        <v>40</v>
      </c>
      <c r="H20" s="74">
        <v>0</v>
      </c>
      <c r="I20" s="74">
        <v>34400</v>
      </c>
      <c r="J20" s="74">
        <v>26500</v>
      </c>
      <c r="K20" s="75">
        <f>+(J20/9)*12</f>
        <v>35333.333333333328</v>
      </c>
      <c r="L20" s="74">
        <f>(+H20+I20)/2</f>
        <v>17200</v>
      </c>
      <c r="M20" s="76">
        <f>ROUNDDOWN(K20*$T$10,-2)</f>
        <v>35300</v>
      </c>
      <c r="N20" s="48">
        <f t="shared" si="2"/>
        <v>35300</v>
      </c>
      <c r="O20" s="100">
        <f t="shared" si="2"/>
        <v>35300</v>
      </c>
      <c r="P20" s="120">
        <v>23</v>
      </c>
      <c r="Q20" s="174" t="s">
        <v>296</v>
      </c>
      <c r="R20" s="166" t="s">
        <v>297</v>
      </c>
    </row>
    <row r="21" spans="1:18" ht="14.1" customHeight="1" outlineLevel="4" thickBot="1" x14ac:dyDescent="0.25">
      <c r="A21" s="47"/>
      <c r="B21" s="47"/>
      <c r="C21" s="47"/>
      <c r="D21" s="47"/>
      <c r="E21" s="47"/>
      <c r="F21" s="47"/>
      <c r="G21" s="47" t="s">
        <v>41</v>
      </c>
      <c r="H21" s="74">
        <v>0</v>
      </c>
      <c r="I21" s="74">
        <v>17520</v>
      </c>
      <c r="J21" s="74">
        <v>98100</v>
      </c>
      <c r="K21" s="75">
        <f>+(J21/9)*12</f>
        <v>130800</v>
      </c>
      <c r="L21" s="74">
        <f>(+H21+I21)/2</f>
        <v>8760</v>
      </c>
      <c r="M21" s="76">
        <f>ROUNDDOWN(K21,-2)-70000</f>
        <v>60800</v>
      </c>
      <c r="N21" s="48">
        <f t="shared" si="2"/>
        <v>60800</v>
      </c>
      <c r="O21" s="100">
        <f t="shared" si="2"/>
        <v>60800</v>
      </c>
      <c r="P21" s="120">
        <v>23</v>
      </c>
      <c r="Q21" s="174" t="s">
        <v>349</v>
      </c>
      <c r="R21" s="166" t="s">
        <v>350</v>
      </c>
    </row>
    <row r="22" spans="1:18" ht="14.1" hidden="1" customHeight="1" outlineLevel="4" thickBot="1" x14ac:dyDescent="0.25">
      <c r="A22" s="47"/>
      <c r="B22" s="47"/>
      <c r="C22" s="47"/>
      <c r="D22" s="47"/>
      <c r="E22" s="47"/>
      <c r="F22" s="47"/>
      <c r="G22" s="47" t="s">
        <v>42</v>
      </c>
      <c r="H22" s="77">
        <v>0</v>
      </c>
      <c r="I22" s="77">
        <v>0</v>
      </c>
      <c r="J22" s="77">
        <v>0</v>
      </c>
      <c r="K22" s="78">
        <v>0</v>
      </c>
      <c r="L22" s="77">
        <v>0</v>
      </c>
      <c r="M22" s="79">
        <v>0</v>
      </c>
      <c r="N22" s="50">
        <v>0</v>
      </c>
      <c r="O22" s="100">
        <v>0</v>
      </c>
      <c r="P22" s="120"/>
      <c r="Q22" s="173"/>
    </row>
    <row r="23" spans="1:18" ht="14.1" customHeight="1" outlineLevel="4" x14ac:dyDescent="0.2">
      <c r="A23" s="47"/>
      <c r="B23" s="47"/>
      <c r="C23" s="47"/>
      <c r="D23" s="47"/>
      <c r="E23" s="47"/>
      <c r="F23" s="47" t="s">
        <v>43</v>
      </c>
      <c r="G23" s="47"/>
      <c r="H23" s="80">
        <f>SUM(H19:H22)</f>
        <v>0</v>
      </c>
      <c r="I23" s="80">
        <f>SUM(I19:I22)</f>
        <v>58932</v>
      </c>
      <c r="J23" s="80">
        <f t="shared" ref="J23:O23" si="3">SUM(J19:J22)</f>
        <v>125105</v>
      </c>
      <c r="K23" s="81">
        <f t="shared" si="3"/>
        <v>166806.66666666666</v>
      </c>
      <c r="L23" s="81">
        <f t="shared" si="3"/>
        <v>29466</v>
      </c>
      <c r="M23" s="82">
        <f t="shared" si="3"/>
        <v>96700</v>
      </c>
      <c r="N23" s="51">
        <f t="shared" si="3"/>
        <v>96700</v>
      </c>
      <c r="O23" s="100">
        <f t="shared" si="3"/>
        <v>96700</v>
      </c>
      <c r="P23" s="120"/>
      <c r="Q23" s="174"/>
    </row>
    <row r="24" spans="1:18" ht="14.1" customHeight="1" outlineLevel="4" x14ac:dyDescent="0.2">
      <c r="A24" s="47"/>
      <c r="B24" s="47"/>
      <c r="C24" s="47"/>
      <c r="D24" s="47"/>
      <c r="E24" s="47"/>
      <c r="F24" s="47" t="s">
        <v>44</v>
      </c>
      <c r="G24" s="47"/>
      <c r="H24" s="74"/>
      <c r="I24" s="74"/>
      <c r="J24" s="74"/>
      <c r="K24" s="75"/>
      <c r="L24" s="74"/>
      <c r="M24" s="76"/>
      <c r="N24" s="48"/>
      <c r="O24" s="100"/>
      <c r="P24" s="120"/>
      <c r="Q24" s="173"/>
    </row>
    <row r="25" spans="1:18" ht="14.1" customHeight="1" outlineLevel="4" x14ac:dyDescent="0.2">
      <c r="A25" s="47"/>
      <c r="B25" s="47"/>
      <c r="C25" s="47"/>
      <c r="D25" s="47"/>
      <c r="E25" s="47"/>
      <c r="F25" s="47"/>
      <c r="G25" s="47" t="s">
        <v>45</v>
      </c>
      <c r="H25" s="74">
        <v>222243</v>
      </c>
      <c r="I25" s="74">
        <v>53159</v>
      </c>
      <c r="J25" s="74">
        <v>27416</v>
      </c>
      <c r="K25" s="75">
        <f>+(J25/9)*12</f>
        <v>36554.666666666664</v>
      </c>
      <c r="L25" s="74">
        <f>(+H25+I25)/2</f>
        <v>137701</v>
      </c>
      <c r="M25" s="76">
        <f>ROUNDDOWN(L25*$T$10,-2)</f>
        <v>137700</v>
      </c>
      <c r="N25" s="48">
        <f t="shared" ref="N25:O27" si="4">+M25</f>
        <v>137700</v>
      </c>
      <c r="O25" s="100">
        <f t="shared" si="4"/>
        <v>137700</v>
      </c>
      <c r="P25" s="120">
        <v>21</v>
      </c>
      <c r="Q25" s="174" t="s">
        <v>294</v>
      </c>
      <c r="R25" s="166" t="s">
        <v>295</v>
      </c>
    </row>
    <row r="26" spans="1:18" ht="14.1" customHeight="1" outlineLevel="4" x14ac:dyDescent="0.2">
      <c r="A26" s="47"/>
      <c r="B26" s="47"/>
      <c r="C26" s="47"/>
      <c r="D26" s="47"/>
      <c r="E26" s="47"/>
      <c r="F26" s="47"/>
      <c r="G26" s="47" t="s">
        <v>46</v>
      </c>
      <c r="H26" s="74">
        <v>201871</v>
      </c>
      <c r="I26" s="74">
        <v>229060</v>
      </c>
      <c r="J26" s="74">
        <v>225621</v>
      </c>
      <c r="K26" s="75">
        <f>+(J26/9)*12</f>
        <v>300828</v>
      </c>
      <c r="L26" s="74">
        <f>(+H26+I26)/2</f>
        <v>215465.5</v>
      </c>
      <c r="M26" s="76">
        <f>ROUNDDOWN(K26*$T$10,-2)</f>
        <v>300800</v>
      </c>
      <c r="N26" s="48">
        <f t="shared" si="4"/>
        <v>300800</v>
      </c>
      <c r="O26" s="100">
        <f t="shared" si="4"/>
        <v>300800</v>
      </c>
      <c r="P26" s="120">
        <v>20</v>
      </c>
      <c r="Q26" s="174" t="s">
        <v>296</v>
      </c>
      <c r="R26" s="166" t="s">
        <v>297</v>
      </c>
    </row>
    <row r="27" spans="1:18" ht="14.1" customHeight="1" outlineLevel="4" thickBot="1" x14ac:dyDescent="0.25">
      <c r="A27" s="47"/>
      <c r="B27" s="47"/>
      <c r="C27" s="47"/>
      <c r="D27" s="47"/>
      <c r="E27" s="47"/>
      <c r="F27" s="47"/>
      <c r="G27" s="47" t="s">
        <v>47</v>
      </c>
      <c r="H27" s="74">
        <v>372779</v>
      </c>
      <c r="I27" s="74">
        <v>106638</v>
      </c>
      <c r="J27" s="74">
        <v>89948</v>
      </c>
      <c r="K27" s="75">
        <f>+(J27/9)*12</f>
        <v>119930.66666666667</v>
      </c>
      <c r="L27" s="74">
        <f>(+H27+I27)/2</f>
        <v>239708.5</v>
      </c>
      <c r="M27" s="76">
        <f>ROUNDDOWN(L27*$T$10,-2)</f>
        <v>239700</v>
      </c>
      <c r="N27" s="48">
        <f t="shared" si="4"/>
        <v>239700</v>
      </c>
      <c r="O27" s="100">
        <f t="shared" si="4"/>
        <v>239700</v>
      </c>
      <c r="P27" s="120">
        <v>20</v>
      </c>
      <c r="Q27" s="174" t="s">
        <v>294</v>
      </c>
      <c r="R27" s="166" t="s">
        <v>314</v>
      </c>
    </row>
    <row r="28" spans="1:18" ht="14.1" hidden="1" customHeight="1" outlineLevel="4" thickBot="1" x14ac:dyDescent="0.25">
      <c r="A28" s="47"/>
      <c r="B28" s="47"/>
      <c r="C28" s="47"/>
      <c r="D28" s="47"/>
      <c r="E28" s="47"/>
      <c r="F28" s="47"/>
      <c r="G28" s="47" t="s">
        <v>48</v>
      </c>
      <c r="H28" s="77">
        <v>0</v>
      </c>
      <c r="I28" s="77">
        <v>0</v>
      </c>
      <c r="J28" s="77">
        <v>0</v>
      </c>
      <c r="K28" s="78">
        <v>0</v>
      </c>
      <c r="L28" s="77">
        <v>0</v>
      </c>
      <c r="M28" s="79">
        <v>0</v>
      </c>
      <c r="N28" s="50">
        <v>0</v>
      </c>
      <c r="O28" s="100">
        <v>0</v>
      </c>
      <c r="P28" s="120"/>
      <c r="Q28" s="173"/>
    </row>
    <row r="29" spans="1:18" ht="14.1" customHeight="1" outlineLevel="4" x14ac:dyDescent="0.2">
      <c r="A29" s="47"/>
      <c r="B29" s="47"/>
      <c r="C29" s="47"/>
      <c r="D29" s="47"/>
      <c r="E29" s="47"/>
      <c r="F29" s="47" t="s">
        <v>49</v>
      </c>
      <c r="G29" s="47"/>
      <c r="H29" s="80">
        <f>SUM(H25:H28)</f>
        <v>796893</v>
      </c>
      <c r="I29" s="80">
        <f>SUM(I25:I28)</f>
        <v>388857</v>
      </c>
      <c r="J29" s="80">
        <f t="shared" ref="J29:O29" si="5">SUM(J25:J28)</f>
        <v>342985</v>
      </c>
      <c r="K29" s="81">
        <f t="shared" si="5"/>
        <v>457313.33333333337</v>
      </c>
      <c r="L29" s="81">
        <f t="shared" si="5"/>
        <v>592875</v>
      </c>
      <c r="M29" s="82">
        <f t="shared" si="5"/>
        <v>678200</v>
      </c>
      <c r="N29" s="51">
        <f t="shared" si="5"/>
        <v>678200</v>
      </c>
      <c r="O29" s="100">
        <f t="shared" si="5"/>
        <v>678200</v>
      </c>
      <c r="P29" s="120"/>
      <c r="Q29" s="173"/>
    </row>
    <row r="30" spans="1:18" ht="14.1" customHeight="1" outlineLevel="4" x14ac:dyDescent="0.2">
      <c r="A30" s="47"/>
      <c r="B30" s="47"/>
      <c r="C30" s="47"/>
      <c r="D30" s="47"/>
      <c r="E30" s="47"/>
      <c r="F30" s="47" t="s">
        <v>50</v>
      </c>
      <c r="G30" s="47"/>
      <c r="H30" s="74"/>
      <c r="I30" s="74"/>
      <c r="J30" s="74"/>
      <c r="K30" s="75"/>
      <c r="L30" s="74"/>
      <c r="M30" s="76"/>
      <c r="N30" s="48"/>
      <c r="O30" s="100"/>
      <c r="P30" s="120"/>
      <c r="Q30" s="173"/>
    </row>
    <row r="31" spans="1:18" ht="14.1" customHeight="1" outlineLevel="4" x14ac:dyDescent="0.2">
      <c r="A31" s="47"/>
      <c r="B31" s="47"/>
      <c r="C31" s="47"/>
      <c r="D31" s="47"/>
      <c r="E31" s="47"/>
      <c r="F31" s="47"/>
      <c r="G31" s="47" t="s">
        <v>280</v>
      </c>
      <c r="H31" s="74">
        <v>831</v>
      </c>
      <c r="I31" s="74">
        <v>562</v>
      </c>
      <c r="J31" s="74">
        <v>651</v>
      </c>
      <c r="K31" s="75">
        <f>+(J31/9)*12</f>
        <v>868</v>
      </c>
      <c r="L31" s="74">
        <f>(+H31+I31)/2</f>
        <v>696.5</v>
      </c>
      <c r="M31" s="76">
        <f>ROUNDDOWN(K31*$T$10,-2)</f>
        <v>800</v>
      </c>
      <c r="N31" s="48">
        <f t="shared" ref="N31:O33" si="6">+M31</f>
        <v>800</v>
      </c>
      <c r="O31" s="100">
        <f t="shared" si="6"/>
        <v>800</v>
      </c>
      <c r="P31" s="120">
        <v>21</v>
      </c>
      <c r="Q31" s="174" t="s">
        <v>296</v>
      </c>
      <c r="R31" s="166" t="s">
        <v>297</v>
      </c>
    </row>
    <row r="32" spans="1:18" ht="14.1" customHeight="1" outlineLevel="4" x14ac:dyDescent="0.2">
      <c r="A32" s="47"/>
      <c r="B32" s="47"/>
      <c r="C32" s="47"/>
      <c r="D32" s="47"/>
      <c r="E32" s="47"/>
      <c r="F32" s="47"/>
      <c r="G32" s="47" t="s">
        <v>51</v>
      </c>
      <c r="H32" s="74">
        <v>19716</v>
      </c>
      <c r="I32" s="74">
        <v>8977</v>
      </c>
      <c r="J32" s="74">
        <v>2500</v>
      </c>
      <c r="K32" s="75">
        <f>+(J32/9)*12</f>
        <v>3333.333333333333</v>
      </c>
      <c r="L32" s="74">
        <f>(+H32+I32)/2</f>
        <v>14346.5</v>
      </c>
      <c r="M32" s="76">
        <f>ROUNDDOWN(K32*$T$10,-2)</f>
        <v>3300</v>
      </c>
      <c r="N32" s="48">
        <f t="shared" si="6"/>
        <v>3300</v>
      </c>
      <c r="O32" s="100">
        <f t="shared" si="6"/>
        <v>3300</v>
      </c>
      <c r="P32" s="120">
        <v>20</v>
      </c>
      <c r="Q32" s="174" t="s">
        <v>296</v>
      </c>
      <c r="R32" s="166" t="s">
        <v>297</v>
      </c>
    </row>
    <row r="33" spans="1:18" ht="14.1" customHeight="1" outlineLevel="4" thickBot="1" x14ac:dyDescent="0.25">
      <c r="A33" s="47"/>
      <c r="B33" s="47"/>
      <c r="C33" s="47"/>
      <c r="D33" s="47"/>
      <c r="E33" s="47"/>
      <c r="F33" s="47"/>
      <c r="G33" s="47" t="s">
        <v>52</v>
      </c>
      <c r="H33" s="74">
        <v>550</v>
      </c>
      <c r="I33" s="74">
        <v>0</v>
      </c>
      <c r="J33" s="74">
        <v>0</v>
      </c>
      <c r="K33" s="75">
        <f>+(J33/9)*12</f>
        <v>0</v>
      </c>
      <c r="L33" s="74">
        <f>(+H33+I33)/2</f>
        <v>275</v>
      </c>
      <c r="M33" s="76">
        <f>ROUNDDOWN(K33*$T$10,-2)</f>
        <v>0</v>
      </c>
      <c r="N33" s="48">
        <f t="shared" si="6"/>
        <v>0</v>
      </c>
      <c r="O33" s="100">
        <f t="shared" si="6"/>
        <v>0</v>
      </c>
      <c r="P33" s="120">
        <v>20</v>
      </c>
      <c r="Q33" s="174" t="s">
        <v>296</v>
      </c>
      <c r="R33" s="166" t="s">
        <v>297</v>
      </c>
    </row>
    <row r="34" spans="1:18" ht="14.1" hidden="1" customHeight="1" outlineLevel="4" thickBot="1" x14ac:dyDescent="0.25">
      <c r="A34" s="47"/>
      <c r="B34" s="47"/>
      <c r="C34" s="47"/>
      <c r="D34" s="47"/>
      <c r="E34" s="47"/>
      <c r="F34" s="47"/>
      <c r="G34" s="47" t="s">
        <v>53</v>
      </c>
      <c r="H34" s="77">
        <v>0</v>
      </c>
      <c r="I34" s="77">
        <v>0</v>
      </c>
      <c r="J34" s="77">
        <v>0</v>
      </c>
      <c r="K34" s="78">
        <v>0</v>
      </c>
      <c r="L34" s="77">
        <v>0</v>
      </c>
      <c r="M34" s="79">
        <v>0</v>
      </c>
      <c r="N34" s="50">
        <v>0</v>
      </c>
      <c r="O34" s="100">
        <v>0</v>
      </c>
      <c r="P34" s="120"/>
      <c r="Q34" s="173"/>
    </row>
    <row r="35" spans="1:18" ht="14.1" customHeight="1" outlineLevel="4" x14ac:dyDescent="0.2">
      <c r="A35" s="47"/>
      <c r="B35" s="47"/>
      <c r="C35" s="47"/>
      <c r="D35" s="47"/>
      <c r="E35" s="47"/>
      <c r="F35" s="47" t="s">
        <v>54</v>
      </c>
      <c r="G35" s="47"/>
      <c r="H35" s="80">
        <f>SUM(H31:H34)</f>
        <v>21097</v>
      </c>
      <c r="I35" s="80">
        <f>SUM(I31:I34)</f>
        <v>9539</v>
      </c>
      <c r="J35" s="80">
        <f t="shared" ref="J35:O35" si="7">SUM(J31:J34)</f>
        <v>3151</v>
      </c>
      <c r="K35" s="81">
        <f t="shared" si="7"/>
        <v>4201.333333333333</v>
      </c>
      <c r="L35" s="81">
        <f t="shared" si="7"/>
        <v>15318</v>
      </c>
      <c r="M35" s="82">
        <f t="shared" si="7"/>
        <v>4100</v>
      </c>
      <c r="N35" s="51">
        <f t="shared" si="7"/>
        <v>4100</v>
      </c>
      <c r="O35" s="100">
        <f t="shared" si="7"/>
        <v>4100</v>
      </c>
      <c r="P35" s="120"/>
      <c r="Q35" s="173"/>
    </row>
    <row r="36" spans="1:18" ht="14.1" hidden="1" customHeight="1" outlineLevel="4" x14ac:dyDescent="0.2">
      <c r="A36" s="47"/>
      <c r="B36" s="47"/>
      <c r="C36" s="47"/>
      <c r="D36" s="47"/>
      <c r="E36" s="47"/>
      <c r="F36" s="47" t="s">
        <v>55</v>
      </c>
      <c r="G36" s="47"/>
      <c r="H36" s="74">
        <v>0</v>
      </c>
      <c r="I36" s="83">
        <v>0</v>
      </c>
      <c r="J36" s="83">
        <v>0</v>
      </c>
      <c r="K36" s="75">
        <v>0</v>
      </c>
      <c r="L36" s="74">
        <v>0</v>
      </c>
      <c r="M36" s="76">
        <v>0</v>
      </c>
      <c r="N36" s="48">
        <v>0</v>
      </c>
      <c r="O36" s="100">
        <v>0</v>
      </c>
      <c r="P36" s="120"/>
      <c r="Q36" s="173"/>
    </row>
    <row r="37" spans="1:18" ht="14.1" customHeight="1" outlineLevel="4" x14ac:dyDescent="0.2">
      <c r="A37" s="47"/>
      <c r="B37" s="47"/>
      <c r="C37" s="47"/>
      <c r="D37" s="47"/>
      <c r="E37" s="47"/>
      <c r="F37" s="47" t="s">
        <v>56</v>
      </c>
      <c r="G37" s="47"/>
      <c r="H37" s="74">
        <v>350931</v>
      </c>
      <c r="I37" s="83">
        <v>360199</v>
      </c>
      <c r="J37" s="83">
        <v>275329</v>
      </c>
      <c r="K37" s="75">
        <f>+(J37/9)*12</f>
        <v>367105.33333333331</v>
      </c>
      <c r="L37" s="74">
        <f>(+H37+I37)/2</f>
        <v>355565</v>
      </c>
      <c r="M37" s="76">
        <f>ROUNDDOWN(K37,-2)</f>
        <v>367100</v>
      </c>
      <c r="N37" s="48">
        <f t="shared" ref="N37:O39" si="8">+M37</f>
        <v>367100</v>
      </c>
      <c r="O37" s="100">
        <f t="shared" si="8"/>
        <v>367100</v>
      </c>
      <c r="P37" s="120">
        <v>22</v>
      </c>
      <c r="Q37" s="174" t="s">
        <v>296</v>
      </c>
      <c r="R37" s="166" t="s">
        <v>297</v>
      </c>
    </row>
    <row r="38" spans="1:18" ht="14.1" customHeight="1" outlineLevel="4" x14ac:dyDescent="0.2">
      <c r="A38" s="47"/>
      <c r="B38" s="47"/>
      <c r="C38" s="47"/>
      <c r="D38" s="47"/>
      <c r="E38" s="47"/>
      <c r="F38" s="47" t="s">
        <v>57</v>
      </c>
      <c r="G38" s="47"/>
      <c r="H38" s="74">
        <v>0</v>
      </c>
      <c r="I38" s="83">
        <v>0</v>
      </c>
      <c r="J38" s="83">
        <v>0</v>
      </c>
      <c r="K38" s="75">
        <f>+(J38/9)*12</f>
        <v>0</v>
      </c>
      <c r="L38" s="74">
        <f>(+H38+I38)/2</f>
        <v>0</v>
      </c>
      <c r="M38" s="76">
        <v>0</v>
      </c>
      <c r="N38" s="48">
        <f t="shared" si="8"/>
        <v>0</v>
      </c>
      <c r="O38" s="100">
        <f t="shared" si="8"/>
        <v>0</v>
      </c>
      <c r="P38" s="120">
        <v>21</v>
      </c>
      <c r="R38" s="167"/>
    </row>
    <row r="39" spans="1:18" ht="14.1" customHeight="1" outlineLevel="4" thickBot="1" x14ac:dyDescent="0.25">
      <c r="A39" s="47"/>
      <c r="B39" s="47"/>
      <c r="C39" s="47"/>
      <c r="D39" s="47"/>
      <c r="E39" s="47"/>
      <c r="F39" s="47" t="s">
        <v>230</v>
      </c>
      <c r="G39" s="47"/>
      <c r="H39" s="74">
        <v>149819</v>
      </c>
      <c r="I39" s="77">
        <v>46453</v>
      </c>
      <c r="J39" s="77">
        <v>32826</v>
      </c>
      <c r="K39" s="75">
        <f>+(J39/9)*12</f>
        <v>43768</v>
      </c>
      <c r="L39" s="74">
        <f>(+H39+I39)/2</f>
        <v>98136</v>
      </c>
      <c r="M39" s="76">
        <f>ROUNDDOWN(H39*$T$10,-2)</f>
        <v>149800</v>
      </c>
      <c r="N39" s="48">
        <f t="shared" si="8"/>
        <v>149800</v>
      </c>
      <c r="O39" s="100">
        <f t="shared" si="8"/>
        <v>149800</v>
      </c>
      <c r="P39" s="120">
        <v>27</v>
      </c>
      <c r="Q39" s="174" t="s">
        <v>298</v>
      </c>
      <c r="R39" s="166" t="s">
        <v>299</v>
      </c>
    </row>
    <row r="40" spans="1:18" ht="14.1" hidden="1" customHeight="1" outlineLevel="4" thickBot="1" x14ac:dyDescent="0.25">
      <c r="A40" s="47"/>
      <c r="B40" s="47"/>
      <c r="C40" s="47"/>
      <c r="D40" s="47"/>
      <c r="E40" s="47"/>
      <c r="F40" s="47" t="s">
        <v>58</v>
      </c>
      <c r="G40" s="47"/>
      <c r="H40" s="77">
        <v>0</v>
      </c>
      <c r="I40" s="77">
        <v>0</v>
      </c>
      <c r="J40" s="77">
        <v>0</v>
      </c>
      <c r="K40" s="78">
        <v>0</v>
      </c>
      <c r="L40" s="77">
        <v>0</v>
      </c>
      <c r="M40" s="79">
        <v>0</v>
      </c>
      <c r="N40" s="50">
        <v>0</v>
      </c>
      <c r="O40" s="100">
        <v>0</v>
      </c>
      <c r="P40" s="120"/>
      <c r="Q40" s="173"/>
    </row>
    <row r="41" spans="1:18" ht="14.1" customHeight="1" outlineLevel="4" x14ac:dyDescent="0.2">
      <c r="A41" s="47"/>
      <c r="B41" s="47"/>
      <c r="C41" s="47"/>
      <c r="D41" s="47"/>
      <c r="E41" s="47" t="s">
        <v>59</v>
      </c>
      <c r="F41" s="47"/>
      <c r="G41" s="47"/>
      <c r="H41" s="81">
        <f t="shared" ref="H41:O41" si="9">+H39+H38+H37+H36+H35+H29+H23+H17+H2</f>
        <v>1878964</v>
      </c>
      <c r="I41" s="81">
        <f t="shared" si="9"/>
        <v>1256928</v>
      </c>
      <c r="J41" s="81">
        <f t="shared" si="9"/>
        <v>912752</v>
      </c>
      <c r="K41" s="81">
        <f t="shared" si="9"/>
        <v>1217002.6666666667</v>
      </c>
      <c r="L41" s="81">
        <f t="shared" si="9"/>
        <v>1567946</v>
      </c>
      <c r="M41" s="82">
        <f>+M39+M38+M37+M36+M35+M29+M23+M17</f>
        <v>1633900</v>
      </c>
      <c r="N41" s="51">
        <f t="shared" si="9"/>
        <v>1633900</v>
      </c>
      <c r="O41" s="100">
        <f t="shared" si="9"/>
        <v>1633900</v>
      </c>
      <c r="P41" s="120"/>
      <c r="Q41" s="173"/>
    </row>
    <row r="42" spans="1:18" ht="14.1" customHeight="1" outlineLevel="4" x14ac:dyDescent="0.2">
      <c r="A42" s="47"/>
      <c r="B42" s="47"/>
      <c r="C42" s="47"/>
      <c r="D42" s="47"/>
      <c r="E42" s="47" t="s">
        <v>60</v>
      </c>
      <c r="F42" s="47"/>
      <c r="G42" s="47"/>
      <c r="H42" s="74"/>
      <c r="I42" s="74"/>
      <c r="J42" s="74"/>
      <c r="K42" s="75"/>
      <c r="L42" s="74"/>
      <c r="M42" s="76"/>
      <c r="N42" s="48"/>
      <c r="O42" s="100"/>
      <c r="P42" s="120"/>
      <c r="Q42" s="173"/>
    </row>
    <row r="43" spans="1:18" ht="14.1" hidden="1" customHeight="1" outlineLevel="4" x14ac:dyDescent="0.2">
      <c r="A43" s="47"/>
      <c r="B43" s="47"/>
      <c r="C43" s="47"/>
      <c r="D43" s="47"/>
      <c r="E43" s="47"/>
      <c r="F43" s="47" t="s">
        <v>220</v>
      </c>
      <c r="G43" s="47"/>
      <c r="H43" s="74">
        <v>0</v>
      </c>
      <c r="I43" s="74">
        <v>0</v>
      </c>
      <c r="J43" s="74">
        <v>0</v>
      </c>
      <c r="K43" s="75">
        <f t="shared" ref="K43:K52" si="10">+(J43/9)*12</f>
        <v>0</v>
      </c>
      <c r="L43" s="74">
        <f t="shared" ref="L43:L52" si="11">(+H43+I43)/2</f>
        <v>0</v>
      </c>
      <c r="M43" s="76">
        <v>0</v>
      </c>
      <c r="N43" s="48">
        <f t="shared" ref="N43:O46" si="12">+M43</f>
        <v>0</v>
      </c>
      <c r="O43" s="100">
        <f t="shared" si="12"/>
        <v>0</v>
      </c>
      <c r="P43" s="120">
        <v>25</v>
      </c>
      <c r="Q43" s="173"/>
    </row>
    <row r="44" spans="1:18" ht="14.1" hidden="1" customHeight="1" outlineLevel="4" x14ac:dyDescent="0.2">
      <c r="A44" s="47"/>
      <c r="B44" s="47"/>
      <c r="C44" s="47"/>
      <c r="D44" s="47"/>
      <c r="E44" s="47"/>
      <c r="F44" s="47" t="s">
        <v>196</v>
      </c>
      <c r="G44" s="47"/>
      <c r="H44" s="74">
        <v>0</v>
      </c>
      <c r="I44" s="74">
        <v>0</v>
      </c>
      <c r="J44" s="74">
        <v>0</v>
      </c>
      <c r="K44" s="75">
        <f t="shared" si="10"/>
        <v>0</v>
      </c>
      <c r="L44" s="74">
        <f t="shared" si="11"/>
        <v>0</v>
      </c>
      <c r="M44" s="76">
        <v>0</v>
      </c>
      <c r="N44" s="48">
        <f t="shared" si="12"/>
        <v>0</v>
      </c>
      <c r="O44" s="100">
        <f t="shared" si="12"/>
        <v>0</v>
      </c>
      <c r="P44" s="120">
        <v>26</v>
      </c>
      <c r="Q44" s="173"/>
    </row>
    <row r="45" spans="1:18" ht="14.1" hidden="1" customHeight="1" outlineLevel="4" x14ac:dyDescent="0.2">
      <c r="A45" s="47"/>
      <c r="B45" s="47"/>
      <c r="C45" s="47"/>
      <c r="D45" s="47"/>
      <c r="E45" s="47"/>
      <c r="F45" s="47" t="s">
        <v>189</v>
      </c>
      <c r="G45" s="47"/>
      <c r="H45" s="74">
        <v>0</v>
      </c>
      <c r="I45" s="74">
        <v>0</v>
      </c>
      <c r="J45" s="74">
        <v>0</v>
      </c>
      <c r="K45" s="75">
        <f t="shared" si="10"/>
        <v>0</v>
      </c>
      <c r="L45" s="74">
        <f t="shared" si="11"/>
        <v>0</v>
      </c>
      <c r="M45" s="76">
        <f>ROUNDUP(L45,-2)</f>
        <v>0</v>
      </c>
      <c r="N45" s="48">
        <f t="shared" si="12"/>
        <v>0</v>
      </c>
      <c r="O45" s="100">
        <f t="shared" si="12"/>
        <v>0</v>
      </c>
      <c r="P45" s="120">
        <v>25</v>
      </c>
      <c r="Q45" s="173"/>
    </row>
    <row r="46" spans="1:18" ht="14.1" hidden="1" customHeight="1" outlineLevel="4" x14ac:dyDescent="0.2">
      <c r="A46" s="47"/>
      <c r="B46" s="47"/>
      <c r="C46" s="47"/>
      <c r="D46" s="47"/>
      <c r="E46" s="47"/>
      <c r="F46" s="47" t="s">
        <v>190</v>
      </c>
      <c r="G46" s="47"/>
      <c r="H46" s="74">
        <v>0</v>
      </c>
      <c r="I46" s="74">
        <v>0</v>
      </c>
      <c r="J46" s="74">
        <v>0</v>
      </c>
      <c r="K46" s="75">
        <f t="shared" si="10"/>
        <v>0</v>
      </c>
      <c r="L46" s="74">
        <f t="shared" si="11"/>
        <v>0</v>
      </c>
      <c r="M46" s="76">
        <f>ROUNDUP(L46,-2)</f>
        <v>0</v>
      </c>
      <c r="N46" s="48">
        <f t="shared" si="12"/>
        <v>0</v>
      </c>
      <c r="O46" s="100">
        <f t="shared" si="12"/>
        <v>0</v>
      </c>
      <c r="P46" s="120">
        <v>25</v>
      </c>
      <c r="Q46" s="173"/>
    </row>
    <row r="47" spans="1:18" ht="14.1" hidden="1" customHeight="1" outlineLevel="4" x14ac:dyDescent="0.2">
      <c r="A47" s="47"/>
      <c r="B47" s="47"/>
      <c r="C47" s="47"/>
      <c r="D47" s="47"/>
      <c r="E47" s="47"/>
      <c r="F47" s="47" t="s">
        <v>194</v>
      </c>
      <c r="G47" s="47"/>
      <c r="H47" s="74">
        <v>0</v>
      </c>
      <c r="I47" s="74">
        <v>0</v>
      </c>
      <c r="J47" s="74">
        <v>0</v>
      </c>
      <c r="K47" s="75">
        <f t="shared" si="10"/>
        <v>0</v>
      </c>
      <c r="L47" s="74">
        <f t="shared" si="11"/>
        <v>0</v>
      </c>
      <c r="M47" s="76">
        <f>ROUNDUP(L47,-2)</f>
        <v>0</v>
      </c>
      <c r="N47" s="48">
        <f>ROUNDUP(M47,-2)</f>
        <v>0</v>
      </c>
      <c r="O47" s="100">
        <f>ROUNDUP(N47,-2)</f>
        <v>0</v>
      </c>
      <c r="P47" s="120"/>
      <c r="Q47" s="173"/>
    </row>
    <row r="48" spans="1:18" ht="14.1" customHeight="1" outlineLevel="4" x14ac:dyDescent="0.2">
      <c r="A48" s="47"/>
      <c r="B48" s="47"/>
      <c r="C48" s="47"/>
      <c r="D48" s="47"/>
      <c r="E48" s="47"/>
      <c r="F48" s="47" t="s">
        <v>191</v>
      </c>
      <c r="G48" s="47"/>
      <c r="H48" s="74">
        <v>0</v>
      </c>
      <c r="I48" s="74">
        <v>0</v>
      </c>
      <c r="J48" s="74">
        <v>0</v>
      </c>
      <c r="K48" s="75">
        <f t="shared" si="10"/>
        <v>0</v>
      </c>
      <c r="L48" s="74">
        <f t="shared" si="11"/>
        <v>0</v>
      </c>
      <c r="M48" s="76">
        <v>0</v>
      </c>
      <c r="N48" s="48">
        <f>+M48</f>
        <v>0</v>
      </c>
      <c r="O48" s="100">
        <f>+N48</f>
        <v>0</v>
      </c>
      <c r="P48" s="120">
        <v>25</v>
      </c>
      <c r="Q48" s="173"/>
      <c r="R48" s="166"/>
    </row>
    <row r="49" spans="1:18" ht="14.1" hidden="1" customHeight="1" outlineLevel="4" x14ac:dyDescent="0.2">
      <c r="A49" s="47"/>
      <c r="B49" s="47"/>
      <c r="C49" s="47"/>
      <c r="D49" s="47"/>
      <c r="E49" s="47"/>
      <c r="F49" s="47" t="s">
        <v>195</v>
      </c>
      <c r="G49" s="47"/>
      <c r="H49" s="74">
        <v>0</v>
      </c>
      <c r="I49" s="74">
        <v>0</v>
      </c>
      <c r="J49" s="74">
        <v>0</v>
      </c>
      <c r="K49" s="75">
        <f t="shared" si="10"/>
        <v>0</v>
      </c>
      <c r="L49" s="74">
        <f t="shared" si="11"/>
        <v>0</v>
      </c>
      <c r="M49" s="76">
        <f>ROUNDUP(L49,-2)</f>
        <v>0</v>
      </c>
      <c r="N49" s="48">
        <f>ROUNDUP(M49,-2)</f>
        <v>0</v>
      </c>
      <c r="O49" s="100">
        <f>ROUNDUP(N49,-2)</f>
        <v>0</v>
      </c>
      <c r="P49" s="120"/>
      <c r="Q49" s="173"/>
    </row>
    <row r="50" spans="1:18" ht="14.1" customHeight="1" outlineLevel="4" x14ac:dyDescent="0.2">
      <c r="A50" s="47"/>
      <c r="B50" s="47"/>
      <c r="C50" s="47"/>
      <c r="D50" s="47"/>
      <c r="E50" s="47"/>
      <c r="F50" s="47" t="s">
        <v>192</v>
      </c>
      <c r="G50" s="47"/>
      <c r="H50" s="74">
        <v>15010</v>
      </c>
      <c r="I50" s="74">
        <v>6420</v>
      </c>
      <c r="J50" s="74">
        <v>30552</v>
      </c>
      <c r="K50" s="75">
        <f t="shared" si="10"/>
        <v>40736</v>
      </c>
      <c r="L50" s="74">
        <f t="shared" si="11"/>
        <v>10715</v>
      </c>
      <c r="M50" s="76">
        <f>ROUNDDOWN(H50*$T$10,-2)</f>
        <v>15000</v>
      </c>
      <c r="N50" s="48">
        <v>283533</v>
      </c>
      <c r="O50" s="100">
        <v>0</v>
      </c>
      <c r="P50" s="120">
        <v>25</v>
      </c>
      <c r="Q50" s="174" t="s">
        <v>298</v>
      </c>
      <c r="R50" s="166" t="s">
        <v>299</v>
      </c>
    </row>
    <row r="51" spans="1:18" ht="14.1" hidden="1" customHeight="1" outlineLevel="4" thickBot="1" x14ac:dyDescent="0.25">
      <c r="A51" s="47"/>
      <c r="B51" s="47"/>
      <c r="C51" s="47"/>
      <c r="D51" s="47"/>
      <c r="E51" s="47"/>
      <c r="F51" s="47" t="s">
        <v>193</v>
      </c>
      <c r="G51" s="47"/>
      <c r="H51" s="83">
        <v>0</v>
      </c>
      <c r="I51" s="83">
        <v>0</v>
      </c>
      <c r="J51" s="83">
        <v>0</v>
      </c>
      <c r="K51" s="75">
        <f t="shared" si="10"/>
        <v>0</v>
      </c>
      <c r="L51" s="74">
        <f t="shared" si="11"/>
        <v>0</v>
      </c>
      <c r="M51" s="76">
        <v>0</v>
      </c>
      <c r="N51" s="50">
        <v>0</v>
      </c>
      <c r="O51" s="100">
        <v>0</v>
      </c>
      <c r="P51" s="120">
        <v>25</v>
      </c>
      <c r="Q51" s="173"/>
    </row>
    <row r="52" spans="1:18" ht="14.1" customHeight="1" outlineLevel="4" thickBot="1" x14ac:dyDescent="0.25">
      <c r="A52" s="47"/>
      <c r="B52" s="47"/>
      <c r="C52" s="47"/>
      <c r="D52" s="47"/>
      <c r="E52" s="47"/>
      <c r="F52" s="47" t="s">
        <v>301</v>
      </c>
      <c r="G52" s="47"/>
      <c r="H52" s="77">
        <v>550</v>
      </c>
      <c r="I52" s="77">
        <v>10</v>
      </c>
      <c r="J52" s="77">
        <v>6726</v>
      </c>
      <c r="K52" s="75">
        <f t="shared" si="10"/>
        <v>8968</v>
      </c>
      <c r="L52" s="74">
        <f t="shared" si="11"/>
        <v>280</v>
      </c>
      <c r="M52" s="76">
        <v>10000</v>
      </c>
      <c r="N52" s="50">
        <v>0</v>
      </c>
      <c r="O52" s="100">
        <v>0</v>
      </c>
      <c r="P52" s="120">
        <v>25</v>
      </c>
      <c r="Q52" s="174" t="s">
        <v>300</v>
      </c>
      <c r="R52" s="166" t="s">
        <v>303</v>
      </c>
    </row>
    <row r="53" spans="1:18" ht="14.1" customHeight="1" outlineLevel="4" x14ac:dyDescent="0.2">
      <c r="A53" s="47"/>
      <c r="B53" s="47"/>
      <c r="C53" s="47"/>
      <c r="D53" s="47"/>
      <c r="E53" s="47" t="s">
        <v>61</v>
      </c>
      <c r="F53" s="47"/>
      <c r="G53" s="47"/>
      <c r="H53" s="81">
        <f t="shared" ref="H53:M53" si="13">SUM(H43:H52)</f>
        <v>15560</v>
      </c>
      <c r="I53" s="81">
        <f t="shared" si="13"/>
        <v>6430</v>
      </c>
      <c r="J53" s="81">
        <f t="shared" si="13"/>
        <v>37278</v>
      </c>
      <c r="K53" s="81">
        <f t="shared" si="13"/>
        <v>49704</v>
      </c>
      <c r="L53" s="81">
        <f t="shared" si="13"/>
        <v>10995</v>
      </c>
      <c r="M53" s="82">
        <f t="shared" si="13"/>
        <v>25000</v>
      </c>
      <c r="N53" s="51">
        <f>+N50+N49+N48+N47+N46+N45+N44+N43</f>
        <v>283533</v>
      </c>
      <c r="O53" s="100">
        <f>+O50+O49+O48+O47+O46+O45+O44+O43</f>
        <v>0</v>
      </c>
      <c r="P53" s="120"/>
      <c r="Q53" s="173"/>
    </row>
    <row r="54" spans="1:18" ht="14.1" customHeight="1" outlineLevel="4" x14ac:dyDescent="0.2">
      <c r="A54" s="47"/>
      <c r="B54" s="47"/>
      <c r="C54" s="47"/>
      <c r="D54" s="47"/>
      <c r="E54" s="47" t="s">
        <v>62</v>
      </c>
      <c r="F54" s="47"/>
      <c r="G54" s="47"/>
      <c r="H54" s="74"/>
      <c r="I54" s="83"/>
      <c r="J54" s="83"/>
      <c r="K54" s="75"/>
      <c r="L54" s="74"/>
      <c r="M54" s="76"/>
      <c r="N54" s="48"/>
      <c r="O54" s="100"/>
      <c r="P54" s="120"/>
      <c r="Q54" s="173"/>
    </row>
    <row r="55" spans="1:18" ht="14.1" customHeight="1" outlineLevel="4" x14ac:dyDescent="0.2">
      <c r="A55" s="47"/>
      <c r="B55" s="47"/>
      <c r="C55" s="47"/>
      <c r="D55" s="47"/>
      <c r="E55" s="47"/>
      <c r="F55" s="47" t="s">
        <v>63</v>
      </c>
      <c r="G55" s="47"/>
      <c r="H55" s="74">
        <v>291294</v>
      </c>
      <c r="I55" s="83">
        <v>280892</v>
      </c>
      <c r="J55" s="83">
        <v>0</v>
      </c>
      <c r="K55" s="75">
        <f>+(J55/9)*12</f>
        <v>0</v>
      </c>
      <c r="L55" s="74">
        <f>(+H55+I55)/2</f>
        <v>286093</v>
      </c>
      <c r="M55" s="76">
        <v>352000</v>
      </c>
      <c r="N55" s="48">
        <v>0</v>
      </c>
      <c r="O55" s="100">
        <v>0</v>
      </c>
      <c r="P55" s="120">
        <v>24</v>
      </c>
      <c r="Q55" s="173" t="s">
        <v>305</v>
      </c>
      <c r="R55" s="168" t="s">
        <v>306</v>
      </c>
    </row>
    <row r="56" spans="1:18" ht="14.1" customHeight="1" outlineLevel="4" x14ac:dyDescent="0.2">
      <c r="A56" s="47"/>
      <c r="B56" s="47"/>
      <c r="C56" s="47"/>
      <c r="D56" s="47"/>
      <c r="E56" s="47"/>
      <c r="F56" s="47" t="s">
        <v>254</v>
      </c>
      <c r="G56" s="47"/>
      <c r="H56" s="74">
        <v>105961</v>
      </c>
      <c r="I56" s="83">
        <v>63295</v>
      </c>
      <c r="J56" s="83">
        <v>28325</v>
      </c>
      <c r="K56" s="75">
        <f>+(J56/9)*12</f>
        <v>37766.666666666664</v>
      </c>
      <c r="L56" s="74">
        <f>(+H56+I56)/2</f>
        <v>84628</v>
      </c>
      <c r="M56" s="76">
        <f>ROUNDDOWN(H56*$T$10,-2)</f>
        <v>105900</v>
      </c>
      <c r="N56" s="48">
        <f>+M56</f>
        <v>105900</v>
      </c>
      <c r="O56" s="100">
        <f>+N56</f>
        <v>105900</v>
      </c>
      <c r="P56" s="120">
        <v>21</v>
      </c>
      <c r="Q56" s="174" t="s">
        <v>298</v>
      </c>
      <c r="R56" s="166" t="s">
        <v>299</v>
      </c>
    </row>
    <row r="57" spans="1:18" ht="14.1" customHeight="1" outlineLevel="4" thickBot="1" x14ac:dyDescent="0.25">
      <c r="A57" s="47"/>
      <c r="B57" s="47"/>
      <c r="C57" s="47"/>
      <c r="D57" s="47"/>
      <c r="E57" s="47"/>
      <c r="F57" s="47" t="s">
        <v>64</v>
      </c>
      <c r="G57" s="47"/>
      <c r="H57" s="74">
        <v>1435</v>
      </c>
      <c r="I57" s="83">
        <v>25643</v>
      </c>
      <c r="J57" s="83">
        <v>11070</v>
      </c>
      <c r="K57" s="75">
        <f>+(J57/9)*12</f>
        <v>14760</v>
      </c>
      <c r="L57" s="74">
        <f>(+H57+I57)/2</f>
        <v>13539</v>
      </c>
      <c r="M57" s="76">
        <f>ROUNDDOWN(K57*$T$10,-2)</f>
        <v>14700</v>
      </c>
      <c r="N57" s="48">
        <f>+M57</f>
        <v>14700</v>
      </c>
      <c r="O57" s="100">
        <f>+N57</f>
        <v>14700</v>
      </c>
      <c r="P57" s="120">
        <v>21</v>
      </c>
      <c r="Q57" s="174" t="s">
        <v>296</v>
      </c>
      <c r="R57" s="166" t="s">
        <v>297</v>
      </c>
    </row>
    <row r="58" spans="1:18" ht="14.1" customHeight="1" outlineLevel="4" x14ac:dyDescent="0.2">
      <c r="A58" s="47"/>
      <c r="B58" s="47"/>
      <c r="C58" s="47"/>
      <c r="D58" s="47"/>
      <c r="E58" s="47" t="s">
        <v>65</v>
      </c>
      <c r="F58" s="47"/>
      <c r="G58" s="47"/>
      <c r="H58" s="81">
        <f>SUM(H55:H57)</f>
        <v>398690</v>
      </c>
      <c r="I58" s="81">
        <f>SUM(I55:I57)</f>
        <v>369830</v>
      </c>
      <c r="J58" s="81">
        <f t="shared" ref="J58:O58" si="14">SUM(J55:J57)</f>
        <v>39395</v>
      </c>
      <c r="K58" s="81">
        <f t="shared" si="14"/>
        <v>52526.666666666664</v>
      </c>
      <c r="L58" s="81">
        <f t="shared" si="14"/>
        <v>384260</v>
      </c>
      <c r="M58" s="82">
        <f t="shared" si="14"/>
        <v>472600</v>
      </c>
      <c r="N58" s="51">
        <f t="shared" si="14"/>
        <v>120600</v>
      </c>
      <c r="O58" s="100">
        <f t="shared" si="14"/>
        <v>120600</v>
      </c>
      <c r="P58" s="120"/>
      <c r="Q58" s="173"/>
    </row>
    <row r="59" spans="1:18" ht="14.1" customHeight="1" outlineLevel="4" x14ac:dyDescent="0.2">
      <c r="A59" s="47"/>
      <c r="B59" s="47"/>
      <c r="C59" s="47"/>
      <c r="D59" s="47"/>
      <c r="E59" s="47" t="s">
        <v>66</v>
      </c>
      <c r="F59" s="47"/>
      <c r="G59" s="47"/>
      <c r="H59" s="74"/>
      <c r="I59" s="74"/>
      <c r="J59" s="74"/>
      <c r="K59" s="75"/>
      <c r="L59" s="74"/>
      <c r="M59" s="76"/>
      <c r="N59" s="48"/>
      <c r="O59" s="100"/>
      <c r="P59" s="120"/>
      <c r="Q59" s="173"/>
    </row>
    <row r="60" spans="1:18" ht="14.1" customHeight="1" outlineLevel="4" x14ac:dyDescent="0.2">
      <c r="A60" s="47"/>
      <c r="B60" s="47"/>
      <c r="C60" s="47"/>
      <c r="D60" s="47"/>
      <c r="E60" s="47"/>
      <c r="F60" s="47" t="s">
        <v>67</v>
      </c>
      <c r="G60" s="47"/>
      <c r="H60" s="74">
        <v>0</v>
      </c>
      <c r="I60" s="74">
        <v>47841</v>
      </c>
      <c r="J60" s="74">
        <v>4454</v>
      </c>
      <c r="K60" s="75">
        <f>+(J60/9)*12</f>
        <v>5938.666666666667</v>
      </c>
      <c r="L60" s="74">
        <f t="shared" ref="L60:L70" si="15">(+H60+I60)/2</f>
        <v>23920.5</v>
      </c>
      <c r="M60" s="76">
        <f>ROUNDDOWN(K60*$T$10,-2)</f>
        <v>5900</v>
      </c>
      <c r="N60" s="48">
        <v>0</v>
      </c>
      <c r="O60" s="100">
        <v>0</v>
      </c>
      <c r="P60" s="120">
        <v>25</v>
      </c>
      <c r="Q60" s="174" t="s">
        <v>296</v>
      </c>
      <c r="R60" s="166" t="s">
        <v>297</v>
      </c>
    </row>
    <row r="61" spans="1:18" ht="14.1" customHeight="1" outlineLevel="4" x14ac:dyDescent="0.2">
      <c r="A61" s="47"/>
      <c r="B61" s="47"/>
      <c r="C61" s="47"/>
      <c r="D61" s="47"/>
      <c r="E61" s="47"/>
      <c r="F61" s="47" t="s">
        <v>276</v>
      </c>
      <c r="G61" s="47"/>
      <c r="H61" s="74">
        <v>0</v>
      </c>
      <c r="I61" s="74">
        <v>0</v>
      </c>
      <c r="J61" s="74">
        <v>105</v>
      </c>
      <c r="K61" s="75">
        <f>+(J61/10)*12</f>
        <v>126</v>
      </c>
      <c r="L61" s="74">
        <f t="shared" si="15"/>
        <v>0</v>
      </c>
      <c r="M61" s="76">
        <v>0</v>
      </c>
      <c r="N61" s="48">
        <f>+M61</f>
        <v>0</v>
      </c>
      <c r="O61" s="100">
        <f>+N61</f>
        <v>0</v>
      </c>
      <c r="P61" s="120">
        <v>21</v>
      </c>
    </row>
    <row r="62" spans="1:18" ht="14.1" hidden="1" customHeight="1" outlineLevel="4" x14ac:dyDescent="0.2">
      <c r="A62" s="47"/>
      <c r="B62" s="47"/>
      <c r="C62" s="47"/>
      <c r="D62" s="47"/>
      <c r="E62" s="47"/>
      <c r="F62" s="47" t="s">
        <v>68</v>
      </c>
      <c r="G62" s="47"/>
      <c r="H62" s="74">
        <v>0</v>
      </c>
      <c r="I62" s="74">
        <v>0</v>
      </c>
      <c r="J62" s="74">
        <v>0</v>
      </c>
      <c r="K62" s="75">
        <f>+(J62/10)*12</f>
        <v>0</v>
      </c>
      <c r="L62" s="74">
        <f t="shared" si="15"/>
        <v>0</v>
      </c>
      <c r="M62" s="76">
        <f>ROUNDDOWN(K62*$T$10,-2)</f>
        <v>0</v>
      </c>
      <c r="N62" s="48">
        <f>ROUNDUP(M62,-2)</f>
        <v>0</v>
      </c>
      <c r="O62" s="100">
        <f>ROUNDUP(N62,-2)</f>
        <v>0</v>
      </c>
      <c r="P62" s="120"/>
      <c r="Q62" s="173"/>
    </row>
    <row r="63" spans="1:18" ht="14.1" customHeight="1" outlineLevel="4" x14ac:dyDescent="0.2">
      <c r="A63" s="47"/>
      <c r="B63" s="47"/>
      <c r="C63" s="47"/>
      <c r="D63" s="47"/>
      <c r="E63" s="47"/>
      <c r="F63" s="47" t="s">
        <v>69</v>
      </c>
      <c r="G63" s="47"/>
      <c r="H63" s="74">
        <v>15186</v>
      </c>
      <c r="I63" s="74">
        <v>210</v>
      </c>
      <c r="J63" s="74">
        <v>2</v>
      </c>
      <c r="K63" s="75">
        <f t="shared" ref="K63:K74" si="16">+(J63/9)*12</f>
        <v>2.6666666666666665</v>
      </c>
      <c r="L63" s="74">
        <f t="shared" si="15"/>
        <v>7698</v>
      </c>
      <c r="M63" s="76">
        <v>0</v>
      </c>
      <c r="N63" s="48">
        <f t="shared" ref="N63:O65" si="17">+M63</f>
        <v>0</v>
      </c>
      <c r="O63" s="100">
        <f t="shared" si="17"/>
        <v>0</v>
      </c>
      <c r="P63" s="120">
        <v>28</v>
      </c>
      <c r="Q63" s="173"/>
      <c r="R63" s="166"/>
    </row>
    <row r="64" spans="1:18" ht="14.1" hidden="1" customHeight="1" outlineLevel="4" x14ac:dyDescent="0.2">
      <c r="A64" s="47"/>
      <c r="B64" s="47"/>
      <c r="C64" s="47"/>
      <c r="D64" s="47"/>
      <c r="E64" s="47"/>
      <c r="F64" s="47" t="s">
        <v>70</v>
      </c>
      <c r="G64" s="47"/>
      <c r="H64" s="74">
        <v>0</v>
      </c>
      <c r="I64" s="74">
        <v>0</v>
      </c>
      <c r="J64" s="74">
        <v>0</v>
      </c>
      <c r="K64" s="75">
        <f t="shared" si="16"/>
        <v>0</v>
      </c>
      <c r="L64" s="74">
        <f t="shared" si="15"/>
        <v>0</v>
      </c>
      <c r="M64" s="76">
        <f>ROUNDDOWN(K64,-2)</f>
        <v>0</v>
      </c>
      <c r="N64" s="48">
        <f t="shared" si="17"/>
        <v>0</v>
      </c>
      <c r="O64" s="100">
        <f t="shared" si="17"/>
        <v>0</v>
      </c>
      <c r="P64" s="120">
        <v>29</v>
      </c>
      <c r="Q64" s="173"/>
    </row>
    <row r="65" spans="1:18" ht="14.1" customHeight="1" outlineLevel="4" x14ac:dyDescent="0.2">
      <c r="A65" s="47"/>
      <c r="B65" s="47"/>
      <c r="C65" s="47"/>
      <c r="D65" s="47"/>
      <c r="E65" s="47"/>
      <c r="F65" s="47" t="s">
        <v>221</v>
      </c>
      <c r="G65" s="47"/>
      <c r="H65" s="74">
        <v>316269</v>
      </c>
      <c r="I65" s="74">
        <v>67852</v>
      </c>
      <c r="J65" s="74">
        <v>54996</v>
      </c>
      <c r="K65" s="75">
        <f t="shared" si="16"/>
        <v>73328</v>
      </c>
      <c r="L65" s="74">
        <f t="shared" si="15"/>
        <v>192060.5</v>
      </c>
      <c r="M65" s="76">
        <f>ROUNDDOWN(L65*$T$10,-2)</f>
        <v>192000</v>
      </c>
      <c r="N65" s="48">
        <f t="shared" si="17"/>
        <v>192000</v>
      </c>
      <c r="O65" s="100">
        <f t="shared" si="17"/>
        <v>192000</v>
      </c>
      <c r="P65" s="120">
        <v>26</v>
      </c>
      <c r="Q65" s="174" t="s">
        <v>294</v>
      </c>
      <c r="R65" s="166" t="s">
        <v>295</v>
      </c>
    </row>
    <row r="66" spans="1:18" ht="14.1" hidden="1" customHeight="1" outlineLevel="4" x14ac:dyDescent="0.2">
      <c r="A66" s="47"/>
      <c r="B66" s="47"/>
      <c r="C66" s="47"/>
      <c r="D66" s="47"/>
      <c r="E66" s="47"/>
      <c r="F66" s="47" t="s">
        <v>71</v>
      </c>
      <c r="G66" s="47"/>
      <c r="H66" s="74"/>
      <c r="I66" s="74"/>
      <c r="J66" s="74"/>
      <c r="K66" s="75">
        <f t="shared" si="16"/>
        <v>0</v>
      </c>
      <c r="L66" s="74"/>
      <c r="M66" s="76">
        <f>ROUNDDOWN(K66,-2)</f>
        <v>0</v>
      </c>
      <c r="N66" s="48"/>
      <c r="O66" s="100"/>
      <c r="P66" s="120"/>
      <c r="Q66" s="173"/>
    </row>
    <row r="67" spans="1:18" ht="14.1" hidden="1" customHeight="1" outlineLevel="4" x14ac:dyDescent="0.2">
      <c r="A67" s="47"/>
      <c r="B67" s="47"/>
      <c r="C67" s="47"/>
      <c r="D67" s="47"/>
      <c r="E67" s="47"/>
      <c r="F67" s="47"/>
      <c r="G67" s="47" t="s">
        <v>72</v>
      </c>
      <c r="H67" s="74">
        <v>0</v>
      </c>
      <c r="I67" s="74">
        <v>0</v>
      </c>
      <c r="J67" s="74">
        <v>0</v>
      </c>
      <c r="K67" s="75">
        <f t="shared" si="16"/>
        <v>0</v>
      </c>
      <c r="L67" s="74">
        <f t="shared" si="15"/>
        <v>0</v>
      </c>
      <c r="M67" s="76">
        <f>ROUNDDOWN(K67,-2)</f>
        <v>0</v>
      </c>
      <c r="N67" s="48">
        <v>0</v>
      </c>
      <c r="O67" s="100">
        <v>0</v>
      </c>
      <c r="P67" s="120"/>
      <c r="Q67" s="173"/>
    </row>
    <row r="68" spans="1:18" ht="14.1" hidden="1" customHeight="1" outlineLevel="4" x14ac:dyDescent="0.2">
      <c r="A68" s="47"/>
      <c r="B68" s="47"/>
      <c r="C68" s="47"/>
      <c r="D68" s="47"/>
      <c r="E68" s="47"/>
      <c r="F68" s="47"/>
      <c r="G68" s="47" t="s">
        <v>73</v>
      </c>
      <c r="H68" s="74">
        <v>0</v>
      </c>
      <c r="I68" s="74">
        <v>0</v>
      </c>
      <c r="J68" s="74">
        <v>0</v>
      </c>
      <c r="K68" s="75">
        <f t="shared" si="16"/>
        <v>0</v>
      </c>
      <c r="L68" s="74">
        <f t="shared" si="15"/>
        <v>0</v>
      </c>
      <c r="M68" s="76">
        <f>ROUNDDOWN(K68,-2)</f>
        <v>0</v>
      </c>
      <c r="N68" s="48">
        <f>+M68</f>
        <v>0</v>
      </c>
      <c r="O68" s="100">
        <f>+N68</f>
        <v>0</v>
      </c>
      <c r="P68" s="120">
        <v>21</v>
      </c>
      <c r="Q68" s="173"/>
    </row>
    <row r="69" spans="1:18" ht="14.1" hidden="1" customHeight="1" outlineLevel="4" x14ac:dyDescent="0.2">
      <c r="A69" s="47"/>
      <c r="B69" s="47"/>
      <c r="C69" s="47"/>
      <c r="D69" s="47"/>
      <c r="E69" s="47"/>
      <c r="F69" s="47"/>
      <c r="G69" s="47" t="s">
        <v>74</v>
      </c>
      <c r="H69" s="74">
        <v>0</v>
      </c>
      <c r="I69" s="74">
        <v>0</v>
      </c>
      <c r="J69" s="74">
        <v>0</v>
      </c>
      <c r="K69" s="75">
        <f t="shared" si="16"/>
        <v>0</v>
      </c>
      <c r="L69" s="74">
        <f t="shared" si="15"/>
        <v>0</v>
      </c>
      <c r="M69" s="76">
        <f>ROUNDDOWN(K69,-2)</f>
        <v>0</v>
      </c>
      <c r="N69" s="48">
        <f>+M69</f>
        <v>0</v>
      </c>
      <c r="O69" s="100">
        <f>+N69</f>
        <v>0</v>
      </c>
      <c r="P69" s="120">
        <v>21</v>
      </c>
      <c r="Q69" s="173"/>
    </row>
    <row r="70" spans="1:18" ht="14.1" customHeight="1" outlineLevel="4" x14ac:dyDescent="0.2">
      <c r="A70" s="47"/>
      <c r="B70" s="47"/>
      <c r="C70" s="47"/>
      <c r="D70" s="47"/>
      <c r="E70" s="47"/>
      <c r="F70" s="47" t="s">
        <v>222</v>
      </c>
      <c r="H70" s="74">
        <v>650</v>
      </c>
      <c r="I70" s="74">
        <v>17720</v>
      </c>
      <c r="J70" s="74">
        <v>8627</v>
      </c>
      <c r="K70" s="75">
        <f t="shared" si="16"/>
        <v>11502.666666666666</v>
      </c>
      <c r="L70" s="74">
        <f t="shared" si="15"/>
        <v>9185</v>
      </c>
      <c r="M70" s="76">
        <f>ROUNDDOWN(K70*$T$10,-2)</f>
        <v>11500</v>
      </c>
      <c r="N70" s="48">
        <v>0</v>
      </c>
      <c r="O70" s="100">
        <v>0</v>
      </c>
      <c r="P70" s="120">
        <v>25</v>
      </c>
      <c r="Q70" s="174" t="s">
        <v>296</v>
      </c>
      <c r="R70" s="166" t="s">
        <v>297</v>
      </c>
    </row>
    <row r="71" spans="1:18" ht="14.1" hidden="1" customHeight="1" outlineLevel="4" thickBot="1" x14ac:dyDescent="0.25">
      <c r="A71" s="47"/>
      <c r="B71" s="47"/>
      <c r="C71" s="47"/>
      <c r="D71" s="47"/>
      <c r="E71" s="47"/>
      <c r="F71" s="47"/>
      <c r="G71" s="47" t="s">
        <v>75</v>
      </c>
      <c r="H71" s="77">
        <v>0</v>
      </c>
      <c r="I71" s="77">
        <v>0</v>
      </c>
      <c r="J71" s="77">
        <v>0</v>
      </c>
      <c r="K71" s="75">
        <f t="shared" si="16"/>
        <v>0</v>
      </c>
      <c r="L71" s="77">
        <f>(+H71+I71)/2</f>
        <v>0</v>
      </c>
      <c r="M71" s="76">
        <f>ROUNDDOWN(K71*$T$10,-2)</f>
        <v>0</v>
      </c>
      <c r="N71" s="50">
        <v>0</v>
      </c>
      <c r="O71" s="100">
        <v>0</v>
      </c>
      <c r="P71" s="120">
        <v>25</v>
      </c>
      <c r="Q71" s="174" t="s">
        <v>296</v>
      </c>
      <c r="R71" s="166" t="s">
        <v>297</v>
      </c>
    </row>
    <row r="72" spans="1:18" ht="14.1" hidden="1" customHeight="1" outlineLevel="4" x14ac:dyDescent="0.2">
      <c r="A72" s="47"/>
      <c r="B72" s="47"/>
      <c r="C72" s="47"/>
      <c r="D72" s="47"/>
      <c r="E72" s="47"/>
      <c r="F72" s="47" t="s">
        <v>76</v>
      </c>
      <c r="G72" s="47"/>
      <c r="H72" s="81">
        <f t="shared" ref="H72:O72" si="18">SUM(H67:H71)</f>
        <v>650</v>
      </c>
      <c r="I72" s="80">
        <f t="shared" si="18"/>
        <v>17720</v>
      </c>
      <c r="J72" s="80">
        <f t="shared" si="18"/>
        <v>8627</v>
      </c>
      <c r="K72" s="75">
        <f t="shared" si="16"/>
        <v>11502.666666666666</v>
      </c>
      <c r="L72" s="81">
        <f t="shared" si="18"/>
        <v>9185</v>
      </c>
      <c r="M72" s="76">
        <f>ROUNDDOWN(K72*$T$10,-2)</f>
        <v>11500</v>
      </c>
      <c r="N72" s="51">
        <f t="shared" si="18"/>
        <v>0</v>
      </c>
      <c r="O72" s="100">
        <f t="shared" si="18"/>
        <v>0</v>
      </c>
      <c r="P72" s="120"/>
      <c r="Q72" s="174" t="s">
        <v>296</v>
      </c>
      <c r="R72" s="166" t="s">
        <v>297</v>
      </c>
    </row>
    <row r="73" spans="1:18" ht="14.1" hidden="1" customHeight="1" outlineLevel="4" x14ac:dyDescent="0.2">
      <c r="A73" s="47"/>
      <c r="B73" s="47"/>
      <c r="C73" s="47"/>
      <c r="D73" s="47"/>
      <c r="E73" s="47"/>
      <c r="F73" s="47" t="s">
        <v>77</v>
      </c>
      <c r="G73" s="47"/>
      <c r="H73" s="75">
        <v>0</v>
      </c>
      <c r="I73" s="83">
        <v>0</v>
      </c>
      <c r="J73" s="83">
        <v>0</v>
      </c>
      <c r="K73" s="75">
        <f t="shared" si="16"/>
        <v>0</v>
      </c>
      <c r="L73" s="75">
        <f>(+H73+I73)/2</f>
        <v>0</v>
      </c>
      <c r="M73" s="76">
        <f>ROUNDDOWN(K73*$T$10,-2)</f>
        <v>0</v>
      </c>
      <c r="N73" s="48">
        <v>0</v>
      </c>
      <c r="O73" s="100">
        <v>0</v>
      </c>
      <c r="P73" s="120"/>
      <c r="Q73" s="174" t="s">
        <v>296</v>
      </c>
      <c r="R73" s="166" t="s">
        <v>297</v>
      </c>
    </row>
    <row r="74" spans="1:18" ht="14.1" customHeight="1" outlineLevel="4" thickBot="1" x14ac:dyDescent="0.25">
      <c r="A74" s="47"/>
      <c r="B74" s="47"/>
      <c r="C74" s="47"/>
      <c r="D74" s="47"/>
      <c r="E74" s="47"/>
      <c r="F74" s="47" t="s">
        <v>238</v>
      </c>
      <c r="G74" s="47"/>
      <c r="H74" s="78">
        <v>0</v>
      </c>
      <c r="I74" s="77">
        <v>3188</v>
      </c>
      <c r="J74" s="77">
        <v>2640</v>
      </c>
      <c r="K74" s="75">
        <f t="shared" si="16"/>
        <v>3520</v>
      </c>
      <c r="L74" s="78">
        <f>(+H74+I74)/2</f>
        <v>1594</v>
      </c>
      <c r="M74" s="76">
        <v>2500</v>
      </c>
      <c r="N74" s="50">
        <v>0</v>
      </c>
      <c r="O74" s="100">
        <v>0</v>
      </c>
      <c r="P74" s="120">
        <v>25</v>
      </c>
      <c r="Q74" s="174" t="s">
        <v>332</v>
      </c>
      <c r="R74" s="166" t="s">
        <v>331</v>
      </c>
    </row>
    <row r="75" spans="1:18" ht="14.1" customHeight="1" outlineLevel="4" thickBot="1" x14ac:dyDescent="0.25">
      <c r="A75" s="47"/>
      <c r="B75" s="47"/>
      <c r="C75" s="47"/>
      <c r="D75" s="47"/>
      <c r="E75" s="47" t="s">
        <v>78</v>
      </c>
      <c r="F75" s="47"/>
      <c r="G75" s="47"/>
      <c r="H75" s="84">
        <f t="shared" ref="H75:M75" si="19">+H72+H64+H63+H62+H61+H60+H65+H74</f>
        <v>332105</v>
      </c>
      <c r="I75" s="84">
        <f t="shared" si="19"/>
        <v>136811</v>
      </c>
      <c r="J75" s="84">
        <f t="shared" si="19"/>
        <v>70824</v>
      </c>
      <c r="K75" s="84">
        <f t="shared" si="19"/>
        <v>94418</v>
      </c>
      <c r="L75" s="84">
        <f t="shared" si="19"/>
        <v>234458</v>
      </c>
      <c r="M75" s="85">
        <f t="shared" si="19"/>
        <v>211900</v>
      </c>
      <c r="N75" s="52">
        <f>+N72+N64+N63+N62+N61+N60</f>
        <v>0</v>
      </c>
      <c r="O75" s="100">
        <f>+O72+O64+O63+O62+O61+O60</f>
        <v>0</v>
      </c>
      <c r="P75" s="120"/>
      <c r="Q75" s="173"/>
    </row>
    <row r="76" spans="1:18" ht="14.1" customHeight="1" outlineLevel="4" x14ac:dyDescent="0.2">
      <c r="A76" s="47"/>
      <c r="B76" s="47"/>
      <c r="C76" s="47"/>
      <c r="D76" s="47"/>
      <c r="E76" s="47" t="s">
        <v>79</v>
      </c>
      <c r="F76" s="47"/>
      <c r="G76" s="47"/>
      <c r="H76" s="74">
        <v>0</v>
      </c>
      <c r="I76" s="74">
        <v>2333</v>
      </c>
      <c r="J76" s="74"/>
      <c r="K76" s="75">
        <f>+(J76/9)*12</f>
        <v>0</v>
      </c>
      <c r="L76" s="74">
        <f>(+H76+I76)/2</f>
        <v>1166.5</v>
      </c>
      <c r="M76" s="76">
        <v>0</v>
      </c>
      <c r="N76" s="48">
        <f t="shared" ref="N76:O78" si="20">+M76</f>
        <v>0</v>
      </c>
      <c r="O76" s="100">
        <f t="shared" si="20"/>
        <v>0</v>
      </c>
      <c r="P76" s="120">
        <v>21</v>
      </c>
      <c r="Q76" s="173"/>
    </row>
    <row r="77" spans="1:18" ht="14.1" hidden="1" customHeight="1" outlineLevel="4" x14ac:dyDescent="0.2">
      <c r="A77" s="47"/>
      <c r="B77" s="47"/>
      <c r="C77" s="47"/>
      <c r="D77" s="47"/>
      <c r="E77" s="47" t="s">
        <v>80</v>
      </c>
      <c r="F77" s="47"/>
      <c r="G77" s="47"/>
      <c r="H77" s="74">
        <v>0</v>
      </c>
      <c r="I77" s="74">
        <v>0</v>
      </c>
      <c r="J77" s="74">
        <v>0</v>
      </c>
      <c r="K77" s="75">
        <f>+(J77/9)*12</f>
        <v>0</v>
      </c>
      <c r="L77" s="74">
        <f>(+H77+I77)/2</f>
        <v>0</v>
      </c>
      <c r="M77" s="76">
        <f>ROUNDUP(L77,-2)</f>
        <v>0</v>
      </c>
      <c r="N77" s="48">
        <f t="shared" si="20"/>
        <v>0</v>
      </c>
      <c r="O77" s="100">
        <f t="shared" si="20"/>
        <v>0</v>
      </c>
      <c r="P77" s="120">
        <v>29</v>
      </c>
      <c r="Q77" s="173"/>
    </row>
    <row r="78" spans="1:18" ht="14.1" customHeight="1" outlineLevel="4" x14ac:dyDescent="0.2">
      <c r="A78" s="47"/>
      <c r="B78" s="47"/>
      <c r="C78" s="47"/>
      <c r="D78" s="47"/>
      <c r="E78" s="47" t="s">
        <v>81</v>
      </c>
      <c r="F78" s="47"/>
      <c r="G78" s="47"/>
      <c r="H78" s="74">
        <v>-1385</v>
      </c>
      <c r="I78" s="74">
        <v>-290</v>
      </c>
      <c r="J78" s="74">
        <v>-1535</v>
      </c>
      <c r="K78" s="75">
        <f>+(J78/9)*12</f>
        <v>-2046.6666666666665</v>
      </c>
      <c r="L78" s="74">
        <f>(+H78+I78)/2</f>
        <v>-837.5</v>
      </c>
      <c r="M78" s="76">
        <v>0</v>
      </c>
      <c r="N78" s="48">
        <f t="shared" si="20"/>
        <v>0</v>
      </c>
      <c r="O78" s="100">
        <f t="shared" si="20"/>
        <v>0</v>
      </c>
      <c r="P78" s="120">
        <v>21</v>
      </c>
      <c r="Q78" s="173"/>
    </row>
    <row r="79" spans="1:18" ht="14.1" customHeight="1" outlineLevel="4" x14ac:dyDescent="0.2">
      <c r="A79" s="47"/>
      <c r="B79" s="47"/>
      <c r="C79" s="47"/>
      <c r="D79" s="47"/>
      <c r="E79" s="47" t="s">
        <v>82</v>
      </c>
      <c r="F79" s="47"/>
      <c r="G79" s="47"/>
      <c r="H79" s="74"/>
      <c r="I79" s="74"/>
      <c r="J79" s="74"/>
      <c r="K79" s="75">
        <f>+(J79/10)*12</f>
        <v>0</v>
      </c>
      <c r="L79" s="74"/>
      <c r="M79" s="76"/>
      <c r="N79" s="48"/>
      <c r="O79" s="100"/>
      <c r="P79" s="120"/>
      <c r="Q79" s="173"/>
    </row>
    <row r="80" spans="1:18" ht="14.1" customHeight="1" outlineLevel="4" thickBot="1" x14ac:dyDescent="0.25">
      <c r="A80" s="47"/>
      <c r="B80" s="47"/>
      <c r="C80" s="47"/>
      <c r="D80" s="47"/>
      <c r="E80" s="47"/>
      <c r="F80" s="47" t="s">
        <v>83</v>
      </c>
      <c r="G80" s="47"/>
      <c r="H80" s="74">
        <v>216</v>
      </c>
      <c r="I80" s="74">
        <v>1395</v>
      </c>
      <c r="J80" s="74">
        <v>1045</v>
      </c>
      <c r="K80" s="75">
        <f>+(J80/9)*12</f>
        <v>1393.3333333333335</v>
      </c>
      <c r="L80" s="74">
        <f>(+H80+I80)/2</f>
        <v>805.5</v>
      </c>
      <c r="M80" s="76">
        <v>0</v>
      </c>
      <c r="N80" s="48">
        <f>+M80</f>
        <v>0</v>
      </c>
      <c r="O80" s="100">
        <f>+N80</f>
        <v>0</v>
      </c>
      <c r="P80" s="120">
        <v>29</v>
      </c>
      <c r="Q80" s="173"/>
    </row>
    <row r="81" spans="1:18" ht="14.1" hidden="1" customHeight="1" outlineLevel="4" x14ac:dyDescent="0.2">
      <c r="A81" s="47"/>
      <c r="B81" s="47"/>
      <c r="C81" s="47"/>
      <c r="D81" s="47"/>
      <c r="E81" s="47"/>
      <c r="F81" s="47" t="s">
        <v>84</v>
      </c>
      <c r="G81" s="47"/>
      <c r="H81" s="74">
        <v>0</v>
      </c>
      <c r="I81" s="74">
        <v>0</v>
      </c>
      <c r="J81" s="74">
        <v>0</v>
      </c>
      <c r="K81" s="75">
        <v>0</v>
      </c>
      <c r="L81" s="74">
        <v>0</v>
      </c>
      <c r="M81" s="76">
        <v>0</v>
      </c>
      <c r="N81" s="48">
        <v>0</v>
      </c>
      <c r="O81" s="100">
        <v>0</v>
      </c>
      <c r="P81" s="120"/>
      <c r="Q81" s="173"/>
    </row>
    <row r="82" spans="1:18" ht="14.1" hidden="1" customHeight="1" outlineLevel="4" thickBot="1" x14ac:dyDescent="0.25">
      <c r="A82" s="47"/>
      <c r="B82" s="47"/>
      <c r="C82" s="47"/>
      <c r="D82" s="47"/>
      <c r="E82" s="47"/>
      <c r="F82" s="47" t="s">
        <v>85</v>
      </c>
      <c r="G82" s="47"/>
      <c r="H82" s="77">
        <v>0</v>
      </c>
      <c r="I82" s="77">
        <v>0</v>
      </c>
      <c r="J82" s="77">
        <v>0</v>
      </c>
      <c r="K82" s="78">
        <v>0</v>
      </c>
      <c r="L82" s="77">
        <v>0</v>
      </c>
      <c r="M82" s="79">
        <v>0</v>
      </c>
      <c r="N82" s="50">
        <v>0</v>
      </c>
      <c r="O82" s="100">
        <v>0</v>
      </c>
      <c r="P82" s="120"/>
      <c r="Q82" s="173"/>
    </row>
    <row r="83" spans="1:18" ht="14.1" customHeight="1" outlineLevel="4" thickBot="1" x14ac:dyDescent="0.25">
      <c r="A83" s="47"/>
      <c r="B83" s="47"/>
      <c r="C83" s="47"/>
      <c r="D83" s="47"/>
      <c r="E83" s="47" t="s">
        <v>86</v>
      </c>
      <c r="F83" s="47"/>
      <c r="G83" s="47"/>
      <c r="H83" s="81">
        <f>SUM(H80:H82)</f>
        <v>216</v>
      </c>
      <c r="I83" s="81">
        <f>SUM(I80:I82)</f>
        <v>1395</v>
      </c>
      <c r="J83" s="81">
        <f t="shared" ref="J83:O83" si="21">SUM(J80:J82)</f>
        <v>1045</v>
      </c>
      <c r="K83" s="81">
        <f t="shared" si="21"/>
        <v>1393.3333333333335</v>
      </c>
      <c r="L83" s="81">
        <f t="shared" si="21"/>
        <v>805.5</v>
      </c>
      <c r="M83" s="82">
        <f t="shared" si="21"/>
        <v>0</v>
      </c>
      <c r="N83" s="51">
        <f t="shared" si="21"/>
        <v>0</v>
      </c>
      <c r="O83" s="100">
        <f t="shared" si="21"/>
        <v>0</v>
      </c>
      <c r="P83" s="120"/>
      <c r="Q83" s="173"/>
    </row>
    <row r="84" spans="1:18" ht="14.1" hidden="1" customHeight="1" outlineLevel="4" thickBot="1" x14ac:dyDescent="0.25">
      <c r="A84" s="47"/>
      <c r="B84" s="47"/>
      <c r="C84" s="47"/>
      <c r="D84" s="47"/>
      <c r="E84" s="47" t="s">
        <v>87</v>
      </c>
      <c r="F84" s="47"/>
      <c r="G84" s="47"/>
      <c r="H84" s="77">
        <v>0</v>
      </c>
      <c r="I84" s="77">
        <v>0</v>
      </c>
      <c r="J84" s="77">
        <v>0</v>
      </c>
      <c r="K84" s="78">
        <v>0</v>
      </c>
      <c r="L84" s="77">
        <v>0</v>
      </c>
      <c r="M84" s="79">
        <v>0</v>
      </c>
      <c r="N84" s="50">
        <v>0</v>
      </c>
      <c r="O84" s="100">
        <v>0</v>
      </c>
      <c r="P84" s="120"/>
      <c r="Q84" s="173"/>
    </row>
    <row r="85" spans="1:18" ht="14.1" customHeight="1" outlineLevel="3" collapsed="1" thickBot="1" x14ac:dyDescent="0.25">
      <c r="A85" s="47"/>
      <c r="B85" s="47"/>
      <c r="C85" s="47"/>
      <c r="D85" s="47" t="s">
        <v>88</v>
      </c>
      <c r="E85" s="47"/>
      <c r="F85" s="47"/>
      <c r="G85" s="47"/>
      <c r="H85" s="84">
        <f t="shared" ref="H85:O85" si="22">+H84+H83+H78+H77+H76+H75+H58+H53+H41</f>
        <v>2624150</v>
      </c>
      <c r="I85" s="84">
        <f t="shared" si="22"/>
        <v>1773437</v>
      </c>
      <c r="J85" s="84">
        <f t="shared" si="22"/>
        <v>1059759</v>
      </c>
      <c r="K85" s="84">
        <f t="shared" si="22"/>
        <v>1412998</v>
      </c>
      <c r="L85" s="84">
        <f t="shared" si="22"/>
        <v>2198793.5</v>
      </c>
      <c r="M85" s="85">
        <f>+M84+M83+M78+M77+M76+M75+M58+M53+M41</f>
        <v>2343400</v>
      </c>
      <c r="N85" s="52">
        <f t="shared" si="22"/>
        <v>2038033</v>
      </c>
      <c r="O85" s="100">
        <f t="shared" si="22"/>
        <v>1754500</v>
      </c>
      <c r="P85" s="120"/>
      <c r="Q85" s="173"/>
    </row>
    <row r="86" spans="1:18" ht="14.1" hidden="1" customHeight="1" outlineLevel="4" x14ac:dyDescent="0.2">
      <c r="A86" s="47"/>
      <c r="B86" s="47"/>
      <c r="C86" s="47"/>
      <c r="D86" s="47" t="s">
        <v>89</v>
      </c>
      <c r="E86" s="47"/>
      <c r="F86" s="47"/>
      <c r="G86" s="47"/>
      <c r="H86" s="75">
        <v>0</v>
      </c>
      <c r="I86" s="75">
        <v>0</v>
      </c>
      <c r="J86" s="75">
        <v>0</v>
      </c>
      <c r="K86" s="75">
        <v>0</v>
      </c>
      <c r="L86" s="74">
        <v>0</v>
      </c>
      <c r="M86" s="76">
        <v>0</v>
      </c>
      <c r="N86" s="48">
        <v>0</v>
      </c>
      <c r="O86" s="100">
        <v>0</v>
      </c>
      <c r="P86" s="120"/>
      <c r="Q86" s="173"/>
    </row>
    <row r="87" spans="1:18" ht="14.1" hidden="1" customHeight="1" outlineLevel="4" thickBot="1" x14ac:dyDescent="0.25">
      <c r="A87" s="47"/>
      <c r="B87" s="47"/>
      <c r="C87" s="47"/>
      <c r="D87" s="47"/>
      <c r="E87" s="47" t="s">
        <v>90</v>
      </c>
      <c r="F87" s="47"/>
      <c r="G87" s="47"/>
      <c r="H87" s="78">
        <v>0</v>
      </c>
      <c r="I87" s="78">
        <v>0</v>
      </c>
      <c r="J87" s="78">
        <v>0</v>
      </c>
      <c r="K87" s="78">
        <v>0</v>
      </c>
      <c r="L87" s="77">
        <v>0</v>
      </c>
      <c r="M87" s="79">
        <v>0</v>
      </c>
      <c r="N87" s="50">
        <v>0</v>
      </c>
      <c r="O87" s="100">
        <v>0</v>
      </c>
      <c r="P87" s="120"/>
      <c r="Q87" s="173"/>
    </row>
    <row r="88" spans="1:18" ht="14.1" hidden="1" customHeight="1" outlineLevel="3" thickBot="1" x14ac:dyDescent="0.25">
      <c r="A88" s="47"/>
      <c r="B88" s="47"/>
      <c r="C88" s="47"/>
      <c r="D88" s="47" t="s">
        <v>91</v>
      </c>
      <c r="E88" s="47"/>
      <c r="F88" s="47"/>
      <c r="G88" s="47"/>
      <c r="H88" s="84">
        <v>0</v>
      </c>
      <c r="I88" s="84">
        <v>0</v>
      </c>
      <c r="J88" s="84">
        <v>0</v>
      </c>
      <c r="K88" s="84">
        <v>0</v>
      </c>
      <c r="L88" s="86">
        <v>0</v>
      </c>
      <c r="M88" s="85">
        <v>0</v>
      </c>
      <c r="N88" s="52">
        <v>0</v>
      </c>
      <c r="O88" s="100">
        <v>0</v>
      </c>
      <c r="P88" s="120"/>
      <c r="Q88" s="173"/>
    </row>
    <row r="89" spans="1:18" ht="14.1" customHeight="1" outlineLevel="2" collapsed="1" x14ac:dyDescent="0.2">
      <c r="A89" s="47"/>
      <c r="B89" s="47"/>
      <c r="C89" s="47" t="s">
        <v>92</v>
      </c>
      <c r="D89" s="47"/>
      <c r="E89" s="47"/>
      <c r="F89" s="47"/>
      <c r="G89" s="47"/>
      <c r="H89" s="75">
        <f>+H85</f>
        <v>2624150</v>
      </c>
      <c r="I89" s="75">
        <f>+I85</f>
        <v>1773437</v>
      </c>
      <c r="J89" s="75">
        <f t="shared" ref="J89:O89" si="23">+J85</f>
        <v>1059759</v>
      </c>
      <c r="K89" s="75">
        <f t="shared" si="23"/>
        <v>1412998</v>
      </c>
      <c r="L89" s="75">
        <f t="shared" si="23"/>
        <v>2198793.5</v>
      </c>
      <c r="M89" s="76">
        <f t="shared" si="23"/>
        <v>2343400</v>
      </c>
      <c r="N89" s="48">
        <f t="shared" si="23"/>
        <v>2038033</v>
      </c>
      <c r="O89" s="100">
        <f t="shared" si="23"/>
        <v>1754500</v>
      </c>
      <c r="P89" s="120"/>
      <c r="Q89" s="173"/>
    </row>
    <row r="90" spans="1:18" ht="14.1" customHeight="1" outlineLevel="3" x14ac:dyDescent="0.2">
      <c r="A90" s="47"/>
      <c r="B90" s="47"/>
      <c r="C90" s="47"/>
      <c r="D90" s="47" t="s">
        <v>93</v>
      </c>
      <c r="E90" s="47"/>
      <c r="F90" s="47"/>
      <c r="G90" s="47"/>
      <c r="H90" s="74"/>
      <c r="I90" s="74"/>
      <c r="J90" s="74"/>
      <c r="K90" s="75"/>
      <c r="L90" s="74"/>
      <c r="M90" s="76"/>
      <c r="N90" s="48"/>
      <c r="O90" s="100"/>
      <c r="P90" s="120"/>
      <c r="Q90" s="173"/>
    </row>
    <row r="91" spans="1:18" ht="14.1" customHeight="1" outlineLevel="4" x14ac:dyDescent="0.2">
      <c r="A91" s="47"/>
      <c r="B91" s="47"/>
      <c r="C91" s="47"/>
      <c r="D91" s="47"/>
      <c r="E91" s="47" t="s">
        <v>94</v>
      </c>
      <c r="F91" s="47"/>
      <c r="G91" s="47"/>
      <c r="H91" s="74"/>
      <c r="I91" s="74"/>
      <c r="J91" s="74"/>
      <c r="K91" s="75"/>
      <c r="L91" s="74"/>
      <c r="M91" s="76"/>
      <c r="N91" s="48"/>
      <c r="O91" s="100"/>
      <c r="P91" s="120"/>
      <c r="Q91" s="173"/>
    </row>
    <row r="92" spans="1:18" ht="14.1" customHeight="1" outlineLevel="4" x14ac:dyDescent="0.2">
      <c r="A92" s="47"/>
      <c r="B92" s="47"/>
      <c r="C92" s="47"/>
      <c r="D92" s="47"/>
      <c r="E92" s="47"/>
      <c r="F92" s="47" t="s">
        <v>95</v>
      </c>
      <c r="G92" s="47"/>
      <c r="H92" s="74"/>
      <c r="I92" s="74"/>
      <c r="J92" s="74"/>
      <c r="K92" s="75"/>
      <c r="L92" s="74"/>
      <c r="M92" s="76"/>
      <c r="N92" s="48"/>
      <c r="O92" s="100"/>
      <c r="P92" s="120"/>
      <c r="Q92" s="173"/>
    </row>
    <row r="93" spans="1:18" ht="14.1" customHeight="1" outlineLevel="4" x14ac:dyDescent="0.2">
      <c r="A93" s="47"/>
      <c r="B93" s="47"/>
      <c r="C93" s="47"/>
      <c r="D93" s="47"/>
      <c r="E93" s="47"/>
      <c r="F93" s="47"/>
      <c r="G93" s="47" t="s">
        <v>96</v>
      </c>
      <c r="H93" s="74">
        <v>104865</v>
      </c>
      <c r="I93" s="74">
        <v>72745</v>
      </c>
      <c r="J93" s="74">
        <v>14527</v>
      </c>
      <c r="K93" s="75">
        <f>+(J93/9)*12</f>
        <v>19369.333333333332</v>
      </c>
      <c r="L93" s="74">
        <f>(+H93+I93)/2</f>
        <v>88805</v>
      </c>
      <c r="M93" s="76">
        <f>ROUNDDOWN(I93,-2)+136000</f>
        <v>208700</v>
      </c>
      <c r="N93" s="48">
        <f t="shared" ref="N93:O95" si="24">+M93</f>
        <v>208700</v>
      </c>
      <c r="O93" s="100">
        <f t="shared" si="24"/>
        <v>208700</v>
      </c>
      <c r="P93" s="120">
        <v>32</v>
      </c>
      <c r="Q93" s="174" t="s">
        <v>312</v>
      </c>
      <c r="R93" s="166" t="s">
        <v>333</v>
      </c>
    </row>
    <row r="94" spans="1:18" ht="14.1" customHeight="1" outlineLevel="4" x14ac:dyDescent="0.2">
      <c r="A94" s="47"/>
      <c r="B94" s="47"/>
      <c r="C94" s="47"/>
      <c r="D94" s="47"/>
      <c r="E94" s="47"/>
      <c r="F94" s="47"/>
      <c r="G94" s="47" t="s">
        <v>97</v>
      </c>
      <c r="H94" s="74">
        <v>49144</v>
      </c>
      <c r="I94" s="74">
        <v>132347</v>
      </c>
      <c r="J94" s="74">
        <v>54351</v>
      </c>
      <c r="K94" s="75">
        <f>+(J94/9)*12</f>
        <v>72468</v>
      </c>
      <c r="L94" s="74">
        <f>(+H94+I94)/2</f>
        <v>90745.5</v>
      </c>
      <c r="M94" s="76">
        <f>ROUNDDOWN(K94*$T$10,-2)</f>
        <v>72400</v>
      </c>
      <c r="N94" s="48">
        <f t="shared" si="24"/>
        <v>72400</v>
      </c>
      <c r="O94" s="100">
        <f t="shared" si="24"/>
        <v>72400</v>
      </c>
      <c r="P94" s="120">
        <v>33</v>
      </c>
      <c r="Q94" s="174" t="s">
        <v>296</v>
      </c>
      <c r="R94" s="166" t="s">
        <v>297</v>
      </c>
    </row>
    <row r="95" spans="1:18" ht="14.1" customHeight="1" outlineLevel="4" thickBot="1" x14ac:dyDescent="0.25">
      <c r="A95" s="47"/>
      <c r="B95" s="47"/>
      <c r="C95" s="47"/>
      <c r="D95" s="47"/>
      <c r="E95" s="47"/>
      <c r="F95" s="47"/>
      <c r="G95" s="47" t="s">
        <v>98</v>
      </c>
      <c r="H95" s="74">
        <v>57266</v>
      </c>
      <c r="I95" s="74">
        <v>43514</v>
      </c>
      <c r="J95" s="74">
        <v>16395</v>
      </c>
      <c r="K95" s="75">
        <f>+(J95/9)*12</f>
        <v>21860</v>
      </c>
      <c r="L95" s="74">
        <f>(+H95+I95)/2</f>
        <v>50390</v>
      </c>
      <c r="M95" s="76">
        <f>ROUNDDOWN(L95*$T$10,-2)</f>
        <v>50300</v>
      </c>
      <c r="N95" s="48">
        <f t="shared" si="24"/>
        <v>50300</v>
      </c>
      <c r="O95" s="100">
        <f t="shared" si="24"/>
        <v>50300</v>
      </c>
      <c r="P95" s="120">
        <v>33</v>
      </c>
      <c r="Q95" s="174" t="s">
        <v>294</v>
      </c>
      <c r="R95" s="166" t="s">
        <v>314</v>
      </c>
    </row>
    <row r="96" spans="1:18" ht="14.1" hidden="1" customHeight="1" outlineLevel="4" thickBot="1" x14ac:dyDescent="0.25">
      <c r="A96" s="47"/>
      <c r="B96" s="47"/>
      <c r="C96" s="47"/>
      <c r="D96" s="47"/>
      <c r="E96" s="47"/>
      <c r="F96" s="47"/>
      <c r="G96" s="47" t="s">
        <v>99</v>
      </c>
      <c r="H96" s="77">
        <v>0</v>
      </c>
      <c r="I96" s="77">
        <v>0</v>
      </c>
      <c r="J96" s="77">
        <v>0</v>
      </c>
      <c r="K96" s="78">
        <v>0</v>
      </c>
      <c r="L96" s="77">
        <v>0</v>
      </c>
      <c r="M96" s="79">
        <v>0</v>
      </c>
      <c r="N96" s="50">
        <v>0</v>
      </c>
      <c r="O96" s="100">
        <v>0</v>
      </c>
      <c r="P96" s="120"/>
      <c r="Q96" s="173"/>
    </row>
    <row r="97" spans="1:18" ht="14.1" customHeight="1" outlineLevel="4" x14ac:dyDescent="0.2">
      <c r="A97" s="47"/>
      <c r="B97" s="47"/>
      <c r="C97" s="47"/>
      <c r="D97" s="47"/>
      <c r="E97" s="47"/>
      <c r="F97" s="47" t="s">
        <v>100</v>
      </c>
      <c r="G97" s="47"/>
      <c r="H97" s="81">
        <f>SUM(H93:H96)</f>
        <v>211275</v>
      </c>
      <c r="I97" s="81">
        <f>SUM(I93:I96)</f>
        <v>248606</v>
      </c>
      <c r="J97" s="81">
        <f t="shared" ref="J97:O97" si="25">SUM(J93:J96)</f>
        <v>85273</v>
      </c>
      <c r="K97" s="81">
        <f t="shared" si="25"/>
        <v>113697.33333333333</v>
      </c>
      <c r="L97" s="81">
        <f t="shared" si="25"/>
        <v>229940.5</v>
      </c>
      <c r="M97" s="82">
        <f t="shared" si="25"/>
        <v>331400</v>
      </c>
      <c r="N97" s="51">
        <f t="shared" si="25"/>
        <v>331400</v>
      </c>
      <c r="O97" s="100">
        <f t="shared" si="25"/>
        <v>331400</v>
      </c>
      <c r="P97" s="120"/>
      <c r="Q97" s="173"/>
    </row>
    <row r="98" spans="1:18" ht="14.1" customHeight="1" outlineLevel="4" x14ac:dyDescent="0.2">
      <c r="A98" s="47"/>
      <c r="B98" s="47"/>
      <c r="C98" s="47"/>
      <c r="D98" s="47"/>
      <c r="E98" s="47"/>
      <c r="F98" s="47" t="s">
        <v>101</v>
      </c>
      <c r="G98" s="47"/>
      <c r="H98" s="74"/>
      <c r="I98" s="74"/>
      <c r="J98" s="74"/>
      <c r="K98" s="75"/>
      <c r="L98" s="74"/>
      <c r="M98" s="76"/>
      <c r="N98" s="48"/>
      <c r="O98" s="100"/>
      <c r="P98" s="120"/>
      <c r="Q98" s="173"/>
    </row>
    <row r="99" spans="1:18" ht="14.1" customHeight="1" outlineLevel="4" x14ac:dyDescent="0.2">
      <c r="A99" s="47"/>
      <c r="B99" s="47"/>
      <c r="C99" s="47"/>
      <c r="D99" s="47"/>
      <c r="E99" s="47"/>
      <c r="F99" s="47"/>
      <c r="G99" s="47" t="s">
        <v>102</v>
      </c>
      <c r="H99" s="74">
        <v>0</v>
      </c>
      <c r="I99" s="74">
        <v>0</v>
      </c>
      <c r="J99" s="74">
        <v>0</v>
      </c>
      <c r="K99" s="75">
        <f>+(J99/9)*12</f>
        <v>0</v>
      </c>
      <c r="L99" s="74">
        <f>(+H99+I99)/2</f>
        <v>0</v>
      </c>
      <c r="M99" s="76">
        <v>0</v>
      </c>
      <c r="N99" s="48">
        <f t="shared" ref="N99:O101" si="26">+M99</f>
        <v>0</v>
      </c>
      <c r="O99" s="100">
        <f t="shared" si="26"/>
        <v>0</v>
      </c>
      <c r="P99" s="120">
        <v>32</v>
      </c>
      <c r="Q99" s="173"/>
    </row>
    <row r="100" spans="1:18" ht="14.1" customHeight="1" outlineLevel="4" x14ac:dyDescent="0.2">
      <c r="A100" s="47"/>
      <c r="B100" s="47"/>
      <c r="C100" s="47"/>
      <c r="D100" s="47"/>
      <c r="E100" s="47"/>
      <c r="F100" s="47"/>
      <c r="G100" s="47" t="s">
        <v>103</v>
      </c>
      <c r="H100" s="74">
        <v>0</v>
      </c>
      <c r="I100" s="74">
        <v>0</v>
      </c>
      <c r="J100" s="74">
        <v>0</v>
      </c>
      <c r="K100" s="75">
        <f>+(J100/9)*12</f>
        <v>0</v>
      </c>
      <c r="L100" s="74">
        <f>(+H100+I100)/2</f>
        <v>0</v>
      </c>
      <c r="M100" s="76">
        <v>0</v>
      </c>
      <c r="N100" s="48">
        <f t="shared" si="26"/>
        <v>0</v>
      </c>
      <c r="O100" s="100">
        <f t="shared" si="26"/>
        <v>0</v>
      </c>
      <c r="P100" s="120">
        <v>32</v>
      </c>
      <c r="Q100" s="173"/>
    </row>
    <row r="101" spans="1:18" ht="14.1" customHeight="1" outlineLevel="4" thickBot="1" x14ac:dyDescent="0.25">
      <c r="A101" s="47"/>
      <c r="B101" s="47"/>
      <c r="C101" s="47"/>
      <c r="D101" s="47"/>
      <c r="E101" s="47"/>
      <c r="F101" s="47"/>
      <c r="G101" s="47" t="s">
        <v>104</v>
      </c>
      <c r="H101" s="74">
        <v>0</v>
      </c>
      <c r="I101" s="74">
        <v>0</v>
      </c>
      <c r="J101" s="74">
        <v>0</v>
      </c>
      <c r="K101" s="75">
        <f>+(J101/9)*12</f>
        <v>0</v>
      </c>
      <c r="L101" s="74">
        <f>(+H101+I101)/2</f>
        <v>0</v>
      </c>
      <c r="M101" s="76">
        <v>4500</v>
      </c>
      <c r="N101" s="48">
        <f t="shared" si="26"/>
        <v>4500</v>
      </c>
      <c r="O101" s="100">
        <f t="shared" si="26"/>
        <v>4500</v>
      </c>
      <c r="P101" s="120">
        <v>32</v>
      </c>
      <c r="Q101" s="173" t="s">
        <v>315</v>
      </c>
      <c r="R101" s="168" t="s">
        <v>313</v>
      </c>
    </row>
    <row r="102" spans="1:18" ht="14.1" hidden="1" customHeight="1" outlineLevel="4" thickBot="1" x14ac:dyDescent="0.25">
      <c r="A102" s="47"/>
      <c r="B102" s="47"/>
      <c r="C102" s="47"/>
      <c r="D102" s="47"/>
      <c r="E102" s="47"/>
      <c r="F102" s="47"/>
      <c r="G102" s="47" t="s">
        <v>105</v>
      </c>
      <c r="H102" s="77">
        <v>0</v>
      </c>
      <c r="I102" s="77">
        <v>0</v>
      </c>
      <c r="J102" s="77">
        <v>0</v>
      </c>
      <c r="K102" s="78">
        <v>0</v>
      </c>
      <c r="L102" s="77">
        <v>0</v>
      </c>
      <c r="M102" s="79">
        <v>0</v>
      </c>
      <c r="N102" s="50">
        <v>0</v>
      </c>
      <c r="O102" s="100">
        <v>0</v>
      </c>
      <c r="P102" s="120"/>
      <c r="Q102" s="173"/>
    </row>
    <row r="103" spans="1:18" ht="14.1" customHeight="1" outlineLevel="4" x14ac:dyDescent="0.2">
      <c r="A103" s="47"/>
      <c r="B103" s="47"/>
      <c r="C103" s="47"/>
      <c r="D103" s="47"/>
      <c r="E103" s="47"/>
      <c r="F103" s="47" t="s">
        <v>106</v>
      </c>
      <c r="G103" s="47"/>
      <c r="H103" s="81">
        <f>SUM(H99:H102)</f>
        <v>0</v>
      </c>
      <c r="I103" s="81">
        <f>SUM(I99:I102)</f>
        <v>0</v>
      </c>
      <c r="J103" s="81">
        <f t="shared" ref="J103:O103" si="27">SUM(J99:J102)</f>
        <v>0</v>
      </c>
      <c r="K103" s="81">
        <f t="shared" si="27"/>
        <v>0</v>
      </c>
      <c r="L103" s="81">
        <f t="shared" si="27"/>
        <v>0</v>
      </c>
      <c r="M103" s="82">
        <f t="shared" si="27"/>
        <v>4500</v>
      </c>
      <c r="N103" s="51">
        <f t="shared" si="27"/>
        <v>4500</v>
      </c>
      <c r="O103" s="100">
        <f t="shared" si="27"/>
        <v>4500</v>
      </c>
      <c r="P103" s="120"/>
      <c r="Q103" s="174"/>
    </row>
    <row r="104" spans="1:18" ht="14.1" customHeight="1" outlineLevel="4" x14ac:dyDescent="0.2">
      <c r="A104" s="47"/>
      <c r="B104" s="47"/>
      <c r="C104" s="47"/>
      <c r="D104" s="47"/>
      <c r="E104" s="47"/>
      <c r="F104" s="47" t="s">
        <v>107</v>
      </c>
      <c r="G104" s="47"/>
      <c r="H104" s="74"/>
      <c r="I104" s="74"/>
      <c r="J104" s="74"/>
      <c r="K104" s="75"/>
      <c r="L104" s="74"/>
      <c r="M104" s="76"/>
      <c r="N104" s="48"/>
      <c r="O104" s="100"/>
      <c r="P104" s="120"/>
      <c r="Q104" s="173"/>
    </row>
    <row r="105" spans="1:18" ht="14.1" customHeight="1" outlineLevel="4" x14ac:dyDescent="0.2">
      <c r="A105" s="47"/>
      <c r="B105" s="47"/>
      <c r="C105" s="47"/>
      <c r="D105" s="47"/>
      <c r="E105" s="47"/>
      <c r="F105" s="47"/>
      <c r="G105" s="47" t="s">
        <v>108</v>
      </c>
      <c r="H105" s="74">
        <v>0</v>
      </c>
      <c r="I105" s="74">
        <v>170</v>
      </c>
      <c r="J105" s="74">
        <v>0</v>
      </c>
      <c r="K105" s="75">
        <f>+(J105/9)*12</f>
        <v>0</v>
      </c>
      <c r="L105" s="74">
        <f>(+H105+I105)/2</f>
        <v>85</v>
      </c>
      <c r="M105" s="76">
        <v>0</v>
      </c>
      <c r="N105" s="48">
        <f t="shared" ref="N105:O107" si="28">+M105</f>
        <v>0</v>
      </c>
      <c r="O105" s="100">
        <f t="shared" si="28"/>
        <v>0</v>
      </c>
      <c r="P105" s="120">
        <v>32</v>
      </c>
      <c r="Q105" s="174"/>
    </row>
    <row r="106" spans="1:18" ht="14.1" customHeight="1" outlineLevel="4" x14ac:dyDescent="0.2">
      <c r="A106" s="47"/>
      <c r="B106" s="47"/>
      <c r="C106" s="47"/>
      <c r="D106" s="47"/>
      <c r="E106" s="47"/>
      <c r="F106" s="47"/>
      <c r="G106" s="47" t="s">
        <v>109</v>
      </c>
      <c r="H106" s="74">
        <v>0</v>
      </c>
      <c r="I106" s="74">
        <v>1762</v>
      </c>
      <c r="J106" s="74">
        <v>1953</v>
      </c>
      <c r="K106" s="75">
        <f>+(J106/9)*12</f>
        <v>2604</v>
      </c>
      <c r="L106" s="74">
        <f>(+H106+I106)/2</f>
        <v>881</v>
      </c>
      <c r="M106" s="76">
        <f>ROUNDDOWN(K106*$T$10,-2)</f>
        <v>2600</v>
      </c>
      <c r="N106" s="48">
        <f t="shared" si="28"/>
        <v>2600</v>
      </c>
      <c r="O106" s="100">
        <f t="shared" si="28"/>
        <v>2600</v>
      </c>
      <c r="P106" s="120">
        <v>33</v>
      </c>
      <c r="Q106" s="174" t="s">
        <v>296</v>
      </c>
      <c r="R106" s="166" t="s">
        <v>337</v>
      </c>
    </row>
    <row r="107" spans="1:18" ht="14.1" customHeight="1" outlineLevel="4" thickBot="1" x14ac:dyDescent="0.25">
      <c r="A107" s="47"/>
      <c r="B107" s="47"/>
      <c r="C107" s="47"/>
      <c r="D107" s="47"/>
      <c r="E107" s="47"/>
      <c r="F107" s="47"/>
      <c r="G107" s="47" t="s">
        <v>110</v>
      </c>
      <c r="H107" s="74">
        <v>11272</v>
      </c>
      <c r="I107" s="74">
        <v>14935</v>
      </c>
      <c r="J107" s="74">
        <v>5254</v>
      </c>
      <c r="K107" s="75">
        <f>+(J107/9)*12</f>
        <v>7005.3333333333339</v>
      </c>
      <c r="L107" s="74">
        <f>(+H107+I107)/2</f>
        <v>13103.5</v>
      </c>
      <c r="M107" s="76">
        <f>ROUNDDOWN(L107*$T$10,-2)</f>
        <v>13100</v>
      </c>
      <c r="N107" s="48">
        <f t="shared" si="28"/>
        <v>13100</v>
      </c>
      <c r="O107" s="100">
        <f t="shared" si="28"/>
        <v>13100</v>
      </c>
      <c r="P107" s="120">
        <v>33</v>
      </c>
      <c r="Q107" s="174" t="s">
        <v>294</v>
      </c>
      <c r="R107" s="166" t="s">
        <v>314</v>
      </c>
    </row>
    <row r="108" spans="1:18" ht="14.1" hidden="1" customHeight="1" outlineLevel="4" thickBot="1" x14ac:dyDescent="0.25">
      <c r="A108" s="47"/>
      <c r="B108" s="47"/>
      <c r="C108" s="47"/>
      <c r="D108" s="47"/>
      <c r="E108" s="47"/>
      <c r="F108" s="47"/>
      <c r="G108" s="47" t="s">
        <v>111</v>
      </c>
      <c r="H108" s="77">
        <v>0</v>
      </c>
      <c r="I108" s="77">
        <v>0</v>
      </c>
      <c r="J108" s="77">
        <v>0</v>
      </c>
      <c r="K108" s="78">
        <v>0</v>
      </c>
      <c r="L108" s="77">
        <v>0</v>
      </c>
      <c r="M108" s="79">
        <v>0</v>
      </c>
      <c r="N108" s="50">
        <v>0</v>
      </c>
      <c r="O108" s="100">
        <v>0</v>
      </c>
      <c r="P108" s="120"/>
      <c r="Q108" s="173"/>
    </row>
    <row r="109" spans="1:18" ht="14.1" customHeight="1" outlineLevel="4" x14ac:dyDescent="0.2">
      <c r="A109" s="47"/>
      <c r="B109" s="47"/>
      <c r="C109" s="47"/>
      <c r="D109" s="47"/>
      <c r="E109" s="47"/>
      <c r="F109" s="47" t="s">
        <v>112</v>
      </c>
      <c r="G109" s="47"/>
      <c r="H109" s="81">
        <f>SUM(H105:H108)</f>
        <v>11272</v>
      </c>
      <c r="I109" s="81">
        <f>SUM(I105:I108)</f>
        <v>16867</v>
      </c>
      <c r="J109" s="81">
        <f t="shared" ref="J109:O109" si="29">SUM(J105:J108)</f>
        <v>7207</v>
      </c>
      <c r="K109" s="81">
        <f t="shared" si="29"/>
        <v>9609.3333333333339</v>
      </c>
      <c r="L109" s="81">
        <f t="shared" si="29"/>
        <v>14069.5</v>
      </c>
      <c r="M109" s="82">
        <f t="shared" si="29"/>
        <v>15700</v>
      </c>
      <c r="N109" s="51">
        <f t="shared" si="29"/>
        <v>15700</v>
      </c>
      <c r="O109" s="100">
        <f t="shared" si="29"/>
        <v>15700</v>
      </c>
      <c r="P109" s="120"/>
      <c r="Q109" s="173"/>
    </row>
    <row r="110" spans="1:18" ht="14.1" customHeight="1" outlineLevel="4" x14ac:dyDescent="0.2">
      <c r="A110" s="47"/>
      <c r="B110" s="47"/>
      <c r="C110" s="47"/>
      <c r="D110" s="47"/>
      <c r="E110" s="47"/>
      <c r="F110" s="47" t="s">
        <v>113</v>
      </c>
      <c r="G110" s="47"/>
      <c r="H110" s="74"/>
      <c r="I110" s="74"/>
      <c r="J110" s="74"/>
      <c r="K110" s="75"/>
      <c r="L110" s="74"/>
      <c r="M110" s="76"/>
      <c r="N110" s="48"/>
      <c r="O110" s="100"/>
      <c r="P110" s="120"/>
      <c r="Q110" s="173"/>
    </row>
    <row r="111" spans="1:18" ht="14.1" customHeight="1" outlineLevel="4" x14ac:dyDescent="0.2">
      <c r="A111" s="47"/>
      <c r="B111" s="47"/>
      <c r="C111" s="47"/>
      <c r="D111" s="47"/>
      <c r="E111" s="47"/>
      <c r="F111" s="47"/>
      <c r="G111" s="47" t="s">
        <v>114</v>
      </c>
      <c r="H111" s="74">
        <v>0</v>
      </c>
      <c r="I111" s="74">
        <v>0</v>
      </c>
      <c r="J111" s="74">
        <v>0</v>
      </c>
      <c r="K111" s="75">
        <f>+(J111/9)*12</f>
        <v>0</v>
      </c>
      <c r="L111" s="74">
        <f>(+H111+I111)/2</f>
        <v>0</v>
      </c>
      <c r="M111" s="76">
        <v>0</v>
      </c>
      <c r="N111" s="48">
        <f t="shared" ref="N111:O113" si="30">+M111</f>
        <v>0</v>
      </c>
      <c r="O111" s="100">
        <f t="shared" si="30"/>
        <v>0</v>
      </c>
      <c r="P111" s="120">
        <v>32</v>
      </c>
      <c r="Q111" s="174"/>
    </row>
    <row r="112" spans="1:18" ht="14.1" customHeight="1" outlineLevel="4" x14ac:dyDescent="0.2">
      <c r="A112" s="47"/>
      <c r="B112" s="47"/>
      <c r="C112" s="47"/>
      <c r="D112" s="47"/>
      <c r="E112" s="47"/>
      <c r="F112" s="47"/>
      <c r="G112" s="47" t="s">
        <v>115</v>
      </c>
      <c r="H112" s="74">
        <v>12445</v>
      </c>
      <c r="I112" s="74">
        <v>22681</v>
      </c>
      <c r="J112" s="74">
        <v>17307</v>
      </c>
      <c r="K112" s="75">
        <f>+(J112/9)*12</f>
        <v>23076</v>
      </c>
      <c r="L112" s="74">
        <f>(+H112+I112)/2</f>
        <v>17563</v>
      </c>
      <c r="M112" s="76">
        <f>ROUNDDOWN(K112*$T$10,-2)</f>
        <v>23000</v>
      </c>
      <c r="N112" s="48">
        <f t="shared" si="30"/>
        <v>23000</v>
      </c>
      <c r="O112" s="100">
        <f t="shared" si="30"/>
        <v>23000</v>
      </c>
      <c r="P112" s="120">
        <v>33</v>
      </c>
      <c r="Q112" s="174" t="s">
        <v>296</v>
      </c>
      <c r="R112" s="166" t="s">
        <v>335</v>
      </c>
    </row>
    <row r="113" spans="1:18" ht="14.1" customHeight="1" outlineLevel="4" thickBot="1" x14ac:dyDescent="0.25">
      <c r="A113" s="47"/>
      <c r="B113" s="47"/>
      <c r="C113" s="47"/>
      <c r="D113" s="47"/>
      <c r="E113" s="47"/>
      <c r="F113" s="47"/>
      <c r="G113" s="47" t="s">
        <v>116</v>
      </c>
      <c r="H113" s="74">
        <v>0</v>
      </c>
      <c r="I113" s="74">
        <v>0</v>
      </c>
      <c r="J113" s="74">
        <v>0</v>
      </c>
      <c r="K113" s="75">
        <f>+(J113/9)*12</f>
        <v>0</v>
      </c>
      <c r="L113" s="74">
        <f>(+H113+I113)/2</f>
        <v>0</v>
      </c>
      <c r="M113" s="76">
        <f>ROUNDDOWN(K113*$T$10,-2)</f>
        <v>0</v>
      </c>
      <c r="N113" s="48">
        <f t="shared" si="30"/>
        <v>0</v>
      </c>
      <c r="O113" s="100">
        <f t="shared" si="30"/>
        <v>0</v>
      </c>
      <c r="P113" s="120">
        <v>33</v>
      </c>
      <c r="Q113" s="174"/>
      <c r="R113" s="166"/>
    </row>
    <row r="114" spans="1:18" ht="14.1" hidden="1" customHeight="1" outlineLevel="4" thickBot="1" x14ac:dyDescent="0.25">
      <c r="A114" s="47"/>
      <c r="B114" s="47"/>
      <c r="C114" s="47"/>
      <c r="D114" s="47"/>
      <c r="E114" s="47"/>
      <c r="F114" s="47"/>
      <c r="G114" s="47" t="s">
        <v>117</v>
      </c>
      <c r="H114" s="77">
        <v>0</v>
      </c>
      <c r="I114" s="77">
        <v>0</v>
      </c>
      <c r="J114" s="77">
        <v>0</v>
      </c>
      <c r="K114" s="78">
        <v>0</v>
      </c>
      <c r="L114" s="77">
        <v>0</v>
      </c>
      <c r="M114" s="79">
        <v>0</v>
      </c>
      <c r="N114" s="50">
        <v>0</v>
      </c>
      <c r="O114" s="100">
        <v>0</v>
      </c>
      <c r="P114" s="120"/>
      <c r="Q114" s="173"/>
    </row>
    <row r="115" spans="1:18" ht="14.1" customHeight="1" outlineLevel="4" x14ac:dyDescent="0.2">
      <c r="A115" s="47"/>
      <c r="B115" s="47"/>
      <c r="C115" s="47"/>
      <c r="D115" s="47"/>
      <c r="E115" s="47"/>
      <c r="F115" s="47" t="s">
        <v>118</v>
      </c>
      <c r="G115" s="47"/>
      <c r="H115" s="81">
        <f>SUM(H111:H114)</f>
        <v>12445</v>
      </c>
      <c r="I115" s="81">
        <f>SUM(I111:I114)</f>
        <v>22681</v>
      </c>
      <c r="J115" s="81">
        <f t="shared" ref="J115:O115" si="31">SUM(J111:J114)</f>
        <v>17307</v>
      </c>
      <c r="K115" s="81">
        <f t="shared" si="31"/>
        <v>23076</v>
      </c>
      <c r="L115" s="81">
        <f t="shared" si="31"/>
        <v>17563</v>
      </c>
      <c r="M115" s="82">
        <f t="shared" si="31"/>
        <v>23000</v>
      </c>
      <c r="N115" s="51">
        <f t="shared" si="31"/>
        <v>23000</v>
      </c>
      <c r="O115" s="100">
        <f t="shared" si="31"/>
        <v>23000</v>
      </c>
      <c r="P115" s="120"/>
      <c r="Q115" s="173"/>
    </row>
    <row r="116" spans="1:18" ht="14.1" customHeight="1" outlineLevel="4" x14ac:dyDescent="0.2">
      <c r="A116" s="47"/>
      <c r="B116" s="47"/>
      <c r="C116" s="47"/>
      <c r="D116" s="47"/>
      <c r="E116" s="47"/>
      <c r="F116" s="47" t="s">
        <v>119</v>
      </c>
      <c r="G116" s="47"/>
      <c r="H116" s="74">
        <v>23789</v>
      </c>
      <c r="I116" s="74">
        <v>27938</v>
      </c>
      <c r="J116" s="74">
        <v>16522</v>
      </c>
      <c r="K116" s="75">
        <f>+(J116/9)*12</f>
        <v>22029.333333333336</v>
      </c>
      <c r="L116" s="74">
        <f>(+H116+I116)/2</f>
        <v>25863.5</v>
      </c>
      <c r="M116" s="76">
        <f>ROUNDDOWN(L116*$T$10,-2)</f>
        <v>25800</v>
      </c>
      <c r="N116" s="48">
        <f>+M116</f>
        <v>25800</v>
      </c>
      <c r="O116" s="100">
        <f>+N116</f>
        <v>25800</v>
      </c>
      <c r="P116" s="120">
        <v>32</v>
      </c>
      <c r="Q116" s="174" t="s">
        <v>294</v>
      </c>
      <c r="R116" s="166" t="s">
        <v>336</v>
      </c>
    </row>
    <row r="117" spans="1:18" ht="14.1" customHeight="1" outlineLevel="4" x14ac:dyDescent="0.2">
      <c r="A117" s="47"/>
      <c r="B117" s="47"/>
      <c r="C117" s="47"/>
      <c r="D117" s="47"/>
      <c r="E117" s="47"/>
      <c r="F117" s="47" t="s">
        <v>120</v>
      </c>
      <c r="G117" s="47"/>
      <c r="H117" s="74">
        <v>1175</v>
      </c>
      <c r="I117" s="74">
        <v>60</v>
      </c>
      <c r="J117" s="74">
        <v>1256</v>
      </c>
      <c r="K117" s="75">
        <f>+(J117/9)*12</f>
        <v>1674.6666666666665</v>
      </c>
      <c r="L117" s="74">
        <f>(+H117+I117)/2</f>
        <v>617.5</v>
      </c>
      <c r="M117" s="76">
        <v>0</v>
      </c>
      <c r="N117" s="48">
        <v>283533</v>
      </c>
      <c r="O117" s="100">
        <v>0</v>
      </c>
      <c r="P117" s="120">
        <v>37</v>
      </c>
      <c r="Q117" s="174"/>
      <c r="R117" s="166"/>
    </row>
    <row r="118" spans="1:18" ht="14.1" customHeight="1" outlineLevel="4" x14ac:dyDescent="0.2">
      <c r="A118" s="47"/>
      <c r="B118" s="47"/>
      <c r="C118" s="47"/>
      <c r="D118" s="47"/>
      <c r="E118" s="47"/>
      <c r="F118" s="47" t="s">
        <v>121</v>
      </c>
      <c r="G118" s="47"/>
      <c r="H118" s="74">
        <v>5830</v>
      </c>
      <c r="I118" s="74">
        <v>9201</v>
      </c>
      <c r="J118" s="74">
        <v>1468</v>
      </c>
      <c r="K118" s="75">
        <f>+(J118/9)*12</f>
        <v>1957.3333333333335</v>
      </c>
      <c r="L118" s="74">
        <f>(+H118+I118)/2</f>
        <v>7515.5</v>
      </c>
      <c r="M118" s="76">
        <v>10000</v>
      </c>
      <c r="N118" s="48">
        <f>+M118</f>
        <v>10000</v>
      </c>
      <c r="O118" s="100">
        <f>+N118</f>
        <v>10000</v>
      </c>
      <c r="P118" s="120">
        <v>36</v>
      </c>
      <c r="Q118" s="173" t="s">
        <v>317</v>
      </c>
      <c r="R118" s="166" t="s">
        <v>316</v>
      </c>
    </row>
    <row r="119" spans="1:18" ht="14.1" customHeight="1" outlineLevel="4" thickBot="1" x14ac:dyDescent="0.25">
      <c r="A119" s="47"/>
      <c r="B119" s="47"/>
      <c r="C119" s="47"/>
      <c r="D119" s="47"/>
      <c r="E119" s="47"/>
      <c r="F119" s="47" t="s">
        <v>122</v>
      </c>
      <c r="G119" s="47"/>
      <c r="H119" s="74">
        <v>71045</v>
      </c>
      <c r="I119" s="74">
        <v>44565</v>
      </c>
      <c r="J119" s="74">
        <v>38437</v>
      </c>
      <c r="K119" s="75">
        <f>+(J119/9)*12</f>
        <v>51249.333333333328</v>
      </c>
      <c r="L119" s="74">
        <f>(+H119+I119)/2</f>
        <v>57805</v>
      </c>
      <c r="M119" s="76">
        <f>ROUNDDOWN(M89*H119/H89,-2)</f>
        <v>63400</v>
      </c>
      <c r="N119" s="48">
        <f>ROUNDUP((N89*0.0255),-2)</f>
        <v>52000</v>
      </c>
      <c r="O119" s="100">
        <f>ROUNDUP((O89*0.0255),-2)</f>
        <v>44800</v>
      </c>
      <c r="P119" s="120">
        <v>32</v>
      </c>
      <c r="Q119" s="173" t="s">
        <v>319</v>
      </c>
      <c r="R119" s="166" t="s">
        <v>318</v>
      </c>
    </row>
    <row r="120" spans="1:18" ht="14.1" hidden="1" customHeight="1" outlineLevel="4" thickBot="1" x14ac:dyDescent="0.25">
      <c r="A120" s="47"/>
      <c r="B120" s="47"/>
      <c r="C120" s="47"/>
      <c r="D120" s="47"/>
      <c r="E120" s="47"/>
      <c r="F120" s="47" t="s">
        <v>123</v>
      </c>
      <c r="G120" s="47"/>
      <c r="H120" s="77">
        <v>0</v>
      </c>
      <c r="I120" s="77">
        <v>0</v>
      </c>
      <c r="J120" s="77">
        <v>0</v>
      </c>
      <c r="K120" s="78">
        <v>0</v>
      </c>
      <c r="L120" s="77">
        <v>0</v>
      </c>
      <c r="M120" s="79">
        <v>0</v>
      </c>
      <c r="N120" s="50">
        <v>0</v>
      </c>
      <c r="O120" s="100">
        <v>0</v>
      </c>
      <c r="P120" s="120"/>
      <c r="Q120" s="173"/>
    </row>
    <row r="121" spans="1:18" ht="14.1" customHeight="1" outlineLevel="3" collapsed="1" x14ac:dyDescent="0.2">
      <c r="A121" s="47"/>
      <c r="B121" s="47"/>
      <c r="C121" s="47"/>
      <c r="D121" s="47"/>
      <c r="E121" s="47" t="s">
        <v>124</v>
      </c>
      <c r="F121" s="47"/>
      <c r="G121" s="47"/>
      <c r="H121" s="81">
        <f>+H119+H118+H117+H116+H115+H109+H103+H97</f>
        <v>336831</v>
      </c>
      <c r="I121" s="81">
        <f>+I119+I118+I117+I116+I115+I109+I103+I97</f>
        <v>369918</v>
      </c>
      <c r="J121" s="81">
        <f t="shared" ref="J121:O121" si="32">+J119+J118+J117+J116+J115+J109+J103+J97</f>
        <v>167470</v>
      </c>
      <c r="K121" s="81">
        <f t="shared" si="32"/>
        <v>223293.33333333331</v>
      </c>
      <c r="L121" s="81">
        <f t="shared" si="32"/>
        <v>353374.5</v>
      </c>
      <c r="M121" s="82">
        <f t="shared" si="32"/>
        <v>473800</v>
      </c>
      <c r="N121" s="51">
        <f t="shared" si="32"/>
        <v>745933</v>
      </c>
      <c r="O121" s="100">
        <f t="shared" si="32"/>
        <v>455200</v>
      </c>
      <c r="P121" s="120"/>
      <c r="Q121" s="173"/>
    </row>
    <row r="122" spans="1:18" ht="14.1" customHeight="1" outlineLevel="4" x14ac:dyDescent="0.2">
      <c r="A122" s="47"/>
      <c r="B122" s="47"/>
      <c r="C122" s="47"/>
      <c r="D122" s="47"/>
      <c r="E122" s="47" t="s">
        <v>125</v>
      </c>
      <c r="F122" s="47"/>
      <c r="G122" s="47"/>
      <c r="H122" s="74"/>
      <c r="I122" s="74"/>
      <c r="J122" s="74"/>
      <c r="K122" s="180"/>
      <c r="L122" s="74"/>
      <c r="M122" s="76"/>
      <c r="N122" s="48"/>
      <c r="O122" s="100"/>
      <c r="P122" s="120"/>
      <c r="Q122" s="173"/>
    </row>
    <row r="123" spans="1:18" ht="14.1" hidden="1" customHeight="1" outlineLevel="4" x14ac:dyDescent="0.2">
      <c r="A123" s="47"/>
      <c r="B123" s="47"/>
      <c r="C123" s="47"/>
      <c r="D123" s="47"/>
      <c r="E123" s="47"/>
      <c r="F123" s="47" t="s">
        <v>197</v>
      </c>
      <c r="G123" s="47"/>
      <c r="H123" s="74">
        <v>0</v>
      </c>
      <c r="I123" s="74">
        <v>0</v>
      </c>
      <c r="J123" s="74">
        <v>0</v>
      </c>
      <c r="K123" s="75">
        <v>0</v>
      </c>
      <c r="L123" s="74">
        <f t="shared" ref="L123:L131" si="33">(+H123+I123)/2</f>
        <v>0</v>
      </c>
      <c r="M123" s="76">
        <f t="shared" ref="M123:M128" si="34">ROUNDUP(L123,-2)</f>
        <v>0</v>
      </c>
      <c r="N123" s="48">
        <f t="shared" ref="N123:O125" si="35">+M123</f>
        <v>0</v>
      </c>
      <c r="O123" s="100">
        <f t="shared" si="35"/>
        <v>0</v>
      </c>
      <c r="P123" s="120">
        <v>55</v>
      </c>
      <c r="Q123" s="173"/>
    </row>
    <row r="124" spans="1:18" ht="14.1" hidden="1" customHeight="1" outlineLevel="4" x14ac:dyDescent="0.2">
      <c r="A124" s="47"/>
      <c r="B124" s="47"/>
      <c r="C124" s="47"/>
      <c r="D124" s="47"/>
      <c r="E124" s="47"/>
      <c r="F124" s="47" t="s">
        <v>126</v>
      </c>
      <c r="G124" s="47"/>
      <c r="H124" s="74">
        <v>0</v>
      </c>
      <c r="I124" s="74">
        <v>0</v>
      </c>
      <c r="J124" s="74">
        <v>0</v>
      </c>
      <c r="K124" s="75">
        <f>+(J124/10)*12</f>
        <v>0</v>
      </c>
      <c r="L124" s="74">
        <f t="shared" si="33"/>
        <v>0</v>
      </c>
      <c r="M124" s="76">
        <f t="shared" si="34"/>
        <v>0</v>
      </c>
      <c r="N124" s="48">
        <f t="shared" si="35"/>
        <v>0</v>
      </c>
      <c r="O124" s="100">
        <f t="shared" si="35"/>
        <v>0</v>
      </c>
      <c r="P124" s="120">
        <v>50</v>
      </c>
      <c r="Q124" s="173"/>
    </row>
    <row r="125" spans="1:18" ht="14.1" hidden="1" customHeight="1" outlineLevel="4" x14ac:dyDescent="0.2">
      <c r="A125" s="47"/>
      <c r="B125" s="47"/>
      <c r="C125" s="47"/>
      <c r="D125" s="47"/>
      <c r="E125" s="47"/>
      <c r="F125" s="47" t="s">
        <v>198</v>
      </c>
      <c r="G125" s="47"/>
      <c r="H125" s="74">
        <v>0</v>
      </c>
      <c r="I125" s="74">
        <v>0</v>
      </c>
      <c r="J125" s="74">
        <v>0</v>
      </c>
      <c r="K125" s="75">
        <f>+(J125/10)*12</f>
        <v>0</v>
      </c>
      <c r="L125" s="74">
        <f t="shared" si="33"/>
        <v>0</v>
      </c>
      <c r="M125" s="76">
        <f t="shared" si="34"/>
        <v>0</v>
      </c>
      <c r="N125" s="48">
        <f t="shared" si="35"/>
        <v>0</v>
      </c>
      <c r="O125" s="100">
        <f t="shared" si="35"/>
        <v>0</v>
      </c>
      <c r="P125" s="120">
        <v>60</v>
      </c>
      <c r="Q125" s="173"/>
    </row>
    <row r="126" spans="1:18" ht="14.1" hidden="1" customHeight="1" outlineLevel="4" x14ac:dyDescent="0.2">
      <c r="A126" s="47"/>
      <c r="B126" s="47"/>
      <c r="C126" s="47"/>
      <c r="D126" s="47"/>
      <c r="E126" s="47"/>
      <c r="F126" s="47" t="s">
        <v>127</v>
      </c>
      <c r="G126" s="47"/>
      <c r="H126" s="74">
        <v>0</v>
      </c>
      <c r="I126" s="74">
        <v>0</v>
      </c>
      <c r="J126" s="74">
        <v>0</v>
      </c>
      <c r="K126" s="75">
        <f>+(J126/10)*12</f>
        <v>0</v>
      </c>
      <c r="L126" s="74">
        <f t="shared" si="33"/>
        <v>0</v>
      </c>
      <c r="M126" s="76">
        <f t="shared" si="34"/>
        <v>0</v>
      </c>
      <c r="N126" s="48">
        <f>ROUNDUP(M126,-2)</f>
        <v>0</v>
      </c>
      <c r="O126" s="100">
        <f>ROUNDUP(N126,-2)</f>
        <v>0</v>
      </c>
      <c r="P126" s="120"/>
      <c r="Q126" s="173"/>
    </row>
    <row r="127" spans="1:18" ht="14.1" customHeight="1" outlineLevel="4" x14ac:dyDescent="0.2">
      <c r="A127" s="47"/>
      <c r="B127" s="47"/>
      <c r="C127" s="47"/>
      <c r="D127" s="47"/>
      <c r="E127" s="47"/>
      <c r="F127" s="47" t="s">
        <v>199</v>
      </c>
      <c r="G127" s="47"/>
      <c r="H127" s="74">
        <v>0</v>
      </c>
      <c r="I127" s="74">
        <v>0</v>
      </c>
      <c r="J127" s="74">
        <v>75</v>
      </c>
      <c r="K127" s="75">
        <f>+(J127/9)*12</f>
        <v>100</v>
      </c>
      <c r="L127" s="74">
        <f t="shared" si="33"/>
        <v>0</v>
      </c>
      <c r="M127" s="76">
        <v>10000</v>
      </c>
      <c r="N127" s="48">
        <f>+M127</f>
        <v>10000</v>
      </c>
      <c r="O127" s="100">
        <f>+N127</f>
        <v>10000</v>
      </c>
      <c r="P127" s="120" t="s">
        <v>264</v>
      </c>
      <c r="Q127" s="173"/>
      <c r="R127" s="166" t="s">
        <v>353</v>
      </c>
    </row>
    <row r="128" spans="1:18" ht="14.1" hidden="1" customHeight="1" outlineLevel="4" x14ac:dyDescent="0.2">
      <c r="A128" s="47"/>
      <c r="B128" s="47"/>
      <c r="C128" s="47"/>
      <c r="D128" s="47"/>
      <c r="E128" s="47"/>
      <c r="F128" s="47" t="s">
        <v>128</v>
      </c>
      <c r="G128" s="47"/>
      <c r="H128" s="74">
        <v>0</v>
      </c>
      <c r="I128" s="74">
        <v>0</v>
      </c>
      <c r="J128" s="74">
        <v>0</v>
      </c>
      <c r="K128" s="75">
        <f>+(J128/9)*12</f>
        <v>0</v>
      </c>
      <c r="L128" s="74">
        <f t="shared" si="33"/>
        <v>0</v>
      </c>
      <c r="M128" s="76">
        <f t="shared" si="34"/>
        <v>0</v>
      </c>
      <c r="N128" s="48">
        <f>ROUNDUP(M128,-2)</f>
        <v>0</v>
      </c>
      <c r="O128" s="100">
        <f>ROUNDUP(N128,-2)</f>
        <v>0</v>
      </c>
      <c r="P128" s="120"/>
      <c r="Q128" s="173"/>
    </row>
    <row r="129" spans="1:18" ht="14.1" customHeight="1" outlineLevel="4" x14ac:dyDescent="0.2">
      <c r="A129" s="47"/>
      <c r="B129" s="47"/>
      <c r="C129" s="47"/>
      <c r="D129" s="47"/>
      <c r="E129" s="47"/>
      <c r="F129" s="47" t="s">
        <v>200</v>
      </c>
      <c r="G129" s="47"/>
      <c r="H129" s="74">
        <v>0</v>
      </c>
      <c r="I129" s="74">
        <v>0</v>
      </c>
      <c r="J129" s="74">
        <v>0</v>
      </c>
      <c r="K129" s="75">
        <f>+(J129/9)*12</f>
        <v>0</v>
      </c>
      <c r="L129" s="74">
        <f t="shared" si="33"/>
        <v>0</v>
      </c>
      <c r="M129" s="76">
        <v>0</v>
      </c>
      <c r="N129" s="48">
        <f>+M129</f>
        <v>0</v>
      </c>
      <c r="O129" s="100">
        <f>+N129</f>
        <v>0</v>
      </c>
      <c r="P129" s="120">
        <v>90</v>
      </c>
      <c r="Q129" s="173"/>
    </row>
    <row r="130" spans="1:18" ht="14.1" hidden="1" customHeight="1" outlineLevel="4" thickBot="1" x14ac:dyDescent="0.25">
      <c r="A130" s="47"/>
      <c r="B130" s="47"/>
      <c r="C130" s="47"/>
      <c r="D130" s="47"/>
      <c r="E130" s="47"/>
      <c r="F130" s="47" t="s">
        <v>201</v>
      </c>
      <c r="G130" s="47"/>
      <c r="H130" s="83">
        <v>0</v>
      </c>
      <c r="I130" s="83">
        <v>0</v>
      </c>
      <c r="J130" s="83">
        <v>0</v>
      </c>
      <c r="K130" s="75">
        <f>+(J130/9)*12</f>
        <v>0</v>
      </c>
      <c r="L130" s="74">
        <f t="shared" si="33"/>
        <v>0</v>
      </c>
      <c r="M130" s="76">
        <v>0</v>
      </c>
      <c r="N130" s="50">
        <v>0</v>
      </c>
      <c r="O130" s="100">
        <v>0</v>
      </c>
      <c r="P130" s="120">
        <v>90</v>
      </c>
      <c r="Q130" s="173"/>
    </row>
    <row r="131" spans="1:18" ht="14.1" customHeight="1" outlineLevel="4" thickBot="1" x14ac:dyDescent="0.25">
      <c r="A131" s="47"/>
      <c r="B131" s="47"/>
      <c r="C131" s="47"/>
      <c r="D131" s="47"/>
      <c r="E131" s="47"/>
      <c r="F131" s="47" t="s">
        <v>202</v>
      </c>
      <c r="G131" s="47"/>
      <c r="H131" s="77">
        <v>0</v>
      </c>
      <c r="I131" s="77">
        <v>669</v>
      </c>
      <c r="J131" s="77">
        <v>0</v>
      </c>
      <c r="K131" s="75">
        <f>+(J131/9)*12</f>
        <v>0</v>
      </c>
      <c r="L131" s="74">
        <f t="shared" si="33"/>
        <v>334.5</v>
      </c>
      <c r="M131" s="76">
        <v>0</v>
      </c>
      <c r="N131" s="50">
        <v>0</v>
      </c>
      <c r="O131" s="100">
        <v>0</v>
      </c>
      <c r="P131" s="120">
        <v>90</v>
      </c>
      <c r="Q131" s="173"/>
    </row>
    <row r="132" spans="1:18" ht="14.1" customHeight="1" outlineLevel="3" x14ac:dyDescent="0.2">
      <c r="A132" s="47"/>
      <c r="B132" s="47"/>
      <c r="C132" s="47"/>
      <c r="D132" s="47"/>
      <c r="E132" s="47" t="s">
        <v>129</v>
      </c>
      <c r="F132" s="47"/>
      <c r="G132" s="47"/>
      <c r="H132" s="81">
        <f>SUM(H123:H131)</f>
        <v>0</v>
      </c>
      <c r="I132" s="81">
        <f>SUM(I123:I131)</f>
        <v>669</v>
      </c>
      <c r="J132" s="81">
        <f t="shared" ref="J132:O132" si="36">SUM(J123:J131)</f>
        <v>75</v>
      </c>
      <c r="K132" s="81">
        <f t="shared" si="36"/>
        <v>100</v>
      </c>
      <c r="L132" s="81">
        <f t="shared" si="36"/>
        <v>334.5</v>
      </c>
      <c r="M132" s="82">
        <f t="shared" si="36"/>
        <v>10000</v>
      </c>
      <c r="N132" s="51">
        <f t="shared" si="36"/>
        <v>10000</v>
      </c>
      <c r="O132" s="100">
        <f t="shared" si="36"/>
        <v>10000</v>
      </c>
      <c r="P132" s="120"/>
      <c r="Q132" s="173"/>
    </row>
    <row r="133" spans="1:18" ht="14.1" customHeight="1" outlineLevel="4" x14ac:dyDescent="0.2">
      <c r="A133" s="47"/>
      <c r="B133" s="47"/>
      <c r="C133" s="47"/>
      <c r="D133" s="47"/>
      <c r="E133" s="47" t="s">
        <v>130</v>
      </c>
      <c r="F133" s="47"/>
      <c r="G133" s="47"/>
      <c r="H133" s="74"/>
      <c r="I133" s="74"/>
      <c r="J133" s="74"/>
      <c r="K133" s="75"/>
      <c r="L133" s="74"/>
      <c r="M133" s="76"/>
      <c r="N133" s="48"/>
      <c r="O133" s="100"/>
      <c r="P133" s="120"/>
      <c r="Q133" s="173"/>
    </row>
    <row r="134" spans="1:18" ht="14.1" customHeight="1" outlineLevel="4" x14ac:dyDescent="0.2">
      <c r="A134" s="47"/>
      <c r="B134" s="47"/>
      <c r="C134" s="47"/>
      <c r="D134" s="47"/>
      <c r="E134" s="47"/>
      <c r="F134" s="47" t="s">
        <v>131</v>
      </c>
      <c r="G134" s="47"/>
      <c r="H134" s="74">
        <v>85036</v>
      </c>
      <c r="I134" s="74">
        <v>137295</v>
      </c>
      <c r="J134" s="74">
        <v>0</v>
      </c>
      <c r="K134" s="75">
        <f>+(J134/9)*12</f>
        <v>0</v>
      </c>
      <c r="L134" s="74">
        <f>(+H134+I134)/2</f>
        <v>111165.5</v>
      </c>
      <c r="M134" s="76">
        <f>352000/2</f>
        <v>176000</v>
      </c>
      <c r="N134" s="48">
        <v>0</v>
      </c>
      <c r="O134" s="100">
        <v>0</v>
      </c>
      <c r="P134" s="120">
        <v>35</v>
      </c>
      <c r="Q134" s="173" t="s">
        <v>305</v>
      </c>
      <c r="R134" s="168" t="s">
        <v>306</v>
      </c>
    </row>
    <row r="135" spans="1:18" ht="14.1" customHeight="1" outlineLevel="4" x14ac:dyDescent="0.2">
      <c r="A135" s="47"/>
      <c r="B135" s="47"/>
      <c r="C135" s="47"/>
      <c r="D135" s="47"/>
      <c r="E135" s="47"/>
      <c r="F135" s="47" t="s">
        <v>283</v>
      </c>
      <c r="G135" s="47"/>
      <c r="H135" s="74">
        <v>133570</v>
      </c>
      <c r="I135" s="74">
        <v>138309</v>
      </c>
      <c r="J135" s="74">
        <v>0</v>
      </c>
      <c r="K135" s="75">
        <f>+(J135/9)*12</f>
        <v>0</v>
      </c>
      <c r="L135" s="74">
        <f>(+H135+I135)/2</f>
        <v>135939.5</v>
      </c>
      <c r="M135" s="76">
        <f>+M134</f>
        <v>176000</v>
      </c>
      <c r="N135" s="48">
        <v>0</v>
      </c>
      <c r="O135" s="100">
        <v>0</v>
      </c>
      <c r="P135" s="120">
        <v>35</v>
      </c>
      <c r="Q135" s="173" t="s">
        <v>305</v>
      </c>
      <c r="R135" s="168" t="s">
        <v>306</v>
      </c>
    </row>
    <row r="136" spans="1:18" ht="14.1" customHeight="1" outlineLevel="4" x14ac:dyDescent="0.2">
      <c r="A136" s="47"/>
      <c r="B136" s="47"/>
      <c r="C136" s="47"/>
      <c r="D136" s="47"/>
      <c r="E136" s="47"/>
      <c r="F136" s="47" t="s">
        <v>284</v>
      </c>
      <c r="G136" s="47"/>
      <c r="H136" s="74">
        <v>0</v>
      </c>
      <c r="I136" s="74">
        <v>4762</v>
      </c>
      <c r="J136" s="74">
        <v>0</v>
      </c>
      <c r="K136" s="75">
        <f>+(J136/9)*12</f>
        <v>0</v>
      </c>
      <c r="L136" s="74">
        <f>(+H136+I136)/2</f>
        <v>2381</v>
      </c>
      <c r="M136" s="76">
        <v>10000</v>
      </c>
      <c r="N136" s="48">
        <f>+M136</f>
        <v>10000</v>
      </c>
      <c r="O136" s="100">
        <f>+N136</f>
        <v>10000</v>
      </c>
      <c r="P136" s="120">
        <v>32</v>
      </c>
      <c r="Q136" s="173" t="s">
        <v>321</v>
      </c>
      <c r="R136" s="168" t="s">
        <v>320</v>
      </c>
    </row>
    <row r="137" spans="1:18" ht="14.1" customHeight="1" outlineLevel="4" thickBot="1" x14ac:dyDescent="0.25">
      <c r="A137" s="47"/>
      <c r="B137" s="47"/>
      <c r="C137" s="47"/>
      <c r="D137" s="47"/>
      <c r="E137" s="47"/>
      <c r="F137" s="47" t="s">
        <v>132</v>
      </c>
      <c r="G137" s="47"/>
      <c r="H137" s="74">
        <v>1278</v>
      </c>
      <c r="I137" s="74">
        <v>7379</v>
      </c>
      <c r="J137" s="74">
        <v>14223</v>
      </c>
      <c r="K137" s="75">
        <f>+(J137/9)*12</f>
        <v>18964</v>
      </c>
      <c r="L137" s="74">
        <f>(+H137+I137)/2</f>
        <v>4328.5</v>
      </c>
      <c r="M137" s="76">
        <f>ROUNDDOWN(K137*1.05,-2)</f>
        <v>19900</v>
      </c>
      <c r="N137" s="50">
        <v>0</v>
      </c>
      <c r="O137" s="100">
        <v>0</v>
      </c>
      <c r="P137" s="120">
        <v>32</v>
      </c>
      <c r="Q137" s="174" t="s">
        <v>296</v>
      </c>
      <c r="R137" s="166" t="s">
        <v>297</v>
      </c>
    </row>
    <row r="138" spans="1:18" ht="14.1" customHeight="1" outlineLevel="3" x14ac:dyDescent="0.2">
      <c r="A138" s="47"/>
      <c r="B138" s="47"/>
      <c r="C138" s="47"/>
      <c r="D138" s="47"/>
      <c r="E138" s="47" t="s">
        <v>133</v>
      </c>
      <c r="F138" s="47"/>
      <c r="G138" s="47"/>
      <c r="H138" s="81">
        <f>SUM(H134:H137)</f>
        <v>219884</v>
      </c>
      <c r="I138" s="81">
        <f>SUM(I134:I137)</f>
        <v>287745</v>
      </c>
      <c r="J138" s="81">
        <f t="shared" ref="J138:O138" si="37">SUM(J134:J137)</f>
        <v>14223</v>
      </c>
      <c r="K138" s="81">
        <f t="shared" si="37"/>
        <v>18964</v>
      </c>
      <c r="L138" s="81">
        <f t="shared" si="37"/>
        <v>253814.5</v>
      </c>
      <c r="M138" s="82">
        <f t="shared" si="37"/>
        <v>381900</v>
      </c>
      <c r="N138" s="51">
        <f t="shared" si="37"/>
        <v>10000</v>
      </c>
      <c r="O138" s="100">
        <f t="shared" si="37"/>
        <v>10000</v>
      </c>
      <c r="P138" s="120"/>
      <c r="Q138" s="173"/>
    </row>
    <row r="139" spans="1:18" ht="14.1" customHeight="1" outlineLevel="4" x14ac:dyDescent="0.2">
      <c r="A139" s="47"/>
      <c r="B139" s="47"/>
      <c r="C139" s="47"/>
      <c r="D139" s="47"/>
      <c r="E139" s="47" t="s">
        <v>134</v>
      </c>
      <c r="F139" s="47"/>
      <c r="G139" s="47"/>
      <c r="H139" s="74"/>
      <c r="I139" s="74"/>
      <c r="J139" s="74"/>
      <c r="K139" s="75"/>
      <c r="L139" s="74"/>
      <c r="M139" s="76"/>
      <c r="N139" s="48"/>
      <c r="O139" s="100"/>
      <c r="P139" s="120"/>
      <c r="Q139" s="173"/>
    </row>
    <row r="140" spans="1:18" ht="14.1" customHeight="1" outlineLevel="4" x14ac:dyDescent="0.2">
      <c r="A140" s="47"/>
      <c r="B140" s="47"/>
      <c r="C140" s="47"/>
      <c r="D140" s="47"/>
      <c r="E140" s="47"/>
      <c r="F140" s="47" t="s">
        <v>135</v>
      </c>
      <c r="G140" s="47"/>
      <c r="H140" s="74">
        <v>45026</v>
      </c>
      <c r="I140" s="74">
        <v>58149</v>
      </c>
      <c r="J140" s="74">
        <v>59405</v>
      </c>
      <c r="K140" s="75">
        <f t="shared" ref="K140:K145" si="38">+(J140/9)*12</f>
        <v>79206.666666666672</v>
      </c>
      <c r="L140" s="74">
        <f t="shared" ref="L140:L145" si="39">(+H140+I140)/2</f>
        <v>51587.5</v>
      </c>
      <c r="M140" s="76">
        <f>56000+4000+30000</f>
        <v>90000</v>
      </c>
      <c r="N140" s="48">
        <f t="shared" ref="N140:O143" si="40">+M140</f>
        <v>90000</v>
      </c>
      <c r="O140" s="100">
        <f t="shared" si="40"/>
        <v>90000</v>
      </c>
      <c r="P140" s="120">
        <v>50</v>
      </c>
      <c r="Q140" s="175" t="s">
        <v>324</v>
      </c>
      <c r="R140" s="166" t="s">
        <v>322</v>
      </c>
    </row>
    <row r="141" spans="1:18" ht="14.1" customHeight="1" outlineLevel="4" x14ac:dyDescent="0.2">
      <c r="A141" s="47"/>
      <c r="B141" s="47"/>
      <c r="C141" s="47"/>
      <c r="D141" s="47"/>
      <c r="E141" s="47"/>
      <c r="F141" s="47" t="s">
        <v>277</v>
      </c>
      <c r="G141" s="47"/>
      <c r="H141" s="74">
        <v>6169</v>
      </c>
      <c r="I141" s="74">
        <v>8361</v>
      </c>
      <c r="J141" s="74">
        <v>6405</v>
      </c>
      <c r="K141" s="75">
        <f t="shared" si="38"/>
        <v>8540</v>
      </c>
      <c r="L141" s="74">
        <f t="shared" si="39"/>
        <v>7265</v>
      </c>
      <c r="M141" s="76">
        <f>ROUNDDOWN(K141,-2)</f>
        <v>8500</v>
      </c>
      <c r="N141" s="48">
        <f t="shared" si="40"/>
        <v>8500</v>
      </c>
      <c r="O141" s="100">
        <f t="shared" si="40"/>
        <v>8500</v>
      </c>
      <c r="P141" s="120">
        <v>88</v>
      </c>
      <c r="Q141" s="174" t="s">
        <v>296</v>
      </c>
      <c r="R141" s="166" t="s">
        <v>297</v>
      </c>
    </row>
    <row r="142" spans="1:18" ht="14.1" customHeight="1" outlineLevel="4" x14ac:dyDescent="0.2">
      <c r="A142" s="47"/>
      <c r="B142" s="47"/>
      <c r="C142" s="47"/>
      <c r="D142" s="47"/>
      <c r="E142" s="47"/>
      <c r="F142" s="47" t="s">
        <v>278</v>
      </c>
      <c r="G142" s="47"/>
      <c r="H142" s="74">
        <v>5367</v>
      </c>
      <c r="I142" s="74">
        <v>31078</v>
      </c>
      <c r="J142" s="74">
        <v>10547</v>
      </c>
      <c r="K142" s="75">
        <f t="shared" si="38"/>
        <v>14062.666666666668</v>
      </c>
      <c r="L142" s="74">
        <f t="shared" si="39"/>
        <v>18222.5</v>
      </c>
      <c r="M142" s="76">
        <f>ROUNDDOWN(L142*$T$10,-2)</f>
        <v>18200</v>
      </c>
      <c r="N142" s="48">
        <f t="shared" si="40"/>
        <v>18200</v>
      </c>
      <c r="O142" s="100">
        <f t="shared" si="40"/>
        <v>18200</v>
      </c>
      <c r="P142" s="120">
        <v>80</v>
      </c>
      <c r="Q142" s="174" t="s">
        <v>294</v>
      </c>
      <c r="R142" s="166" t="s">
        <v>323</v>
      </c>
    </row>
    <row r="143" spans="1:18" ht="14.1" customHeight="1" outlineLevel="4" x14ac:dyDescent="0.2">
      <c r="A143" s="47"/>
      <c r="B143" s="47"/>
      <c r="C143" s="47"/>
      <c r="D143" s="47"/>
      <c r="E143" s="47"/>
      <c r="F143" s="47" t="s">
        <v>136</v>
      </c>
      <c r="G143" s="47"/>
      <c r="H143" s="74">
        <v>81340</v>
      </c>
      <c r="I143" s="74">
        <v>50484</v>
      </c>
      <c r="J143" s="74">
        <v>14815</v>
      </c>
      <c r="K143" s="75">
        <f t="shared" si="38"/>
        <v>19753.333333333332</v>
      </c>
      <c r="L143" s="74">
        <f t="shared" si="39"/>
        <v>65912</v>
      </c>
      <c r="M143" s="76">
        <f>(10300*5)+2500</f>
        <v>54000</v>
      </c>
      <c r="N143" s="48">
        <f t="shared" si="40"/>
        <v>54000</v>
      </c>
      <c r="O143" s="100">
        <f t="shared" si="40"/>
        <v>54000</v>
      </c>
      <c r="P143" s="120">
        <v>85</v>
      </c>
      <c r="Q143" s="174" t="s">
        <v>326</v>
      </c>
      <c r="R143" s="166" t="s">
        <v>325</v>
      </c>
    </row>
    <row r="144" spans="1:18" ht="14.1" hidden="1" customHeight="1" outlineLevel="4" x14ac:dyDescent="0.2">
      <c r="A144" s="47"/>
      <c r="B144" s="47"/>
      <c r="C144" s="47"/>
      <c r="D144" s="47"/>
      <c r="E144" s="47"/>
      <c r="F144" s="47" t="s">
        <v>137</v>
      </c>
      <c r="G144" s="47"/>
      <c r="H144" s="74">
        <v>0</v>
      </c>
      <c r="I144" s="74">
        <v>0</v>
      </c>
      <c r="J144" s="74">
        <v>0</v>
      </c>
      <c r="K144" s="75">
        <f t="shared" si="38"/>
        <v>0</v>
      </c>
      <c r="L144" s="74">
        <f t="shared" si="39"/>
        <v>0</v>
      </c>
      <c r="M144" s="76">
        <v>0</v>
      </c>
      <c r="N144" s="48">
        <v>0</v>
      </c>
      <c r="O144" s="100">
        <v>0</v>
      </c>
      <c r="P144" s="120"/>
      <c r="Q144" s="173"/>
    </row>
    <row r="145" spans="1:18" ht="14.1" customHeight="1" outlineLevel="4" x14ac:dyDescent="0.2">
      <c r="A145" s="47"/>
      <c r="B145" s="47"/>
      <c r="C145" s="47"/>
      <c r="D145" s="47"/>
      <c r="E145" s="47"/>
      <c r="F145" s="47" t="s">
        <v>223</v>
      </c>
      <c r="G145" s="47"/>
      <c r="H145" s="74">
        <v>368331</v>
      </c>
      <c r="I145" s="74">
        <v>50663</v>
      </c>
      <c r="J145" s="74">
        <v>36370</v>
      </c>
      <c r="K145" s="75">
        <f t="shared" si="38"/>
        <v>48493.333333333336</v>
      </c>
      <c r="L145" s="74">
        <f t="shared" si="39"/>
        <v>209497</v>
      </c>
      <c r="M145" s="76">
        <f>+M65</f>
        <v>192000</v>
      </c>
      <c r="N145" s="48">
        <f>+M145</f>
        <v>192000</v>
      </c>
      <c r="O145" s="100">
        <f>+N145</f>
        <v>192000</v>
      </c>
      <c r="P145" s="120">
        <v>55</v>
      </c>
      <c r="Q145" s="173" t="s">
        <v>328</v>
      </c>
      <c r="R145" s="166" t="s">
        <v>327</v>
      </c>
    </row>
    <row r="146" spans="1:18" ht="14.1" customHeight="1" outlineLevel="4" x14ac:dyDescent="0.2">
      <c r="A146" s="47"/>
      <c r="B146" s="47"/>
      <c r="C146" s="47"/>
      <c r="D146" s="47"/>
      <c r="E146" s="47"/>
      <c r="F146" s="47" t="s">
        <v>138</v>
      </c>
      <c r="G146" s="47"/>
      <c r="H146" s="74"/>
      <c r="I146" s="74"/>
      <c r="J146" s="74"/>
      <c r="K146" s="75"/>
      <c r="L146" s="74"/>
      <c r="M146" s="76"/>
      <c r="N146" s="48"/>
      <c r="O146" s="100"/>
      <c r="P146" s="120"/>
      <c r="Q146" s="173"/>
    </row>
    <row r="147" spans="1:18" ht="14.1" customHeight="1" outlineLevel="4" x14ac:dyDescent="0.2">
      <c r="A147" s="47"/>
      <c r="B147" s="47"/>
      <c r="C147" s="47"/>
      <c r="D147" s="47"/>
      <c r="E147" s="47"/>
      <c r="F147" s="47"/>
      <c r="G147" s="47" t="s">
        <v>243</v>
      </c>
      <c r="H147" s="74">
        <v>2362</v>
      </c>
      <c r="I147" s="74">
        <v>0</v>
      </c>
      <c r="J147" s="74">
        <v>0</v>
      </c>
      <c r="K147" s="75">
        <f>+(J147/9)*12</f>
        <v>0</v>
      </c>
      <c r="L147" s="74">
        <f>(+H147+I147)/2</f>
        <v>1181</v>
      </c>
      <c r="M147" s="76"/>
      <c r="N147" s="48">
        <f>+M147</f>
        <v>0</v>
      </c>
      <c r="O147" s="100">
        <f>+N147</f>
        <v>0</v>
      </c>
      <c r="P147" s="120">
        <v>60</v>
      </c>
      <c r="Q147" s="173"/>
      <c r="R147" s="166"/>
    </row>
    <row r="148" spans="1:18" ht="14.1" hidden="1" customHeight="1" outlineLevel="4" x14ac:dyDescent="0.2">
      <c r="A148" s="47"/>
      <c r="B148" s="47"/>
      <c r="C148" s="47"/>
      <c r="D148" s="47"/>
      <c r="E148" s="47"/>
      <c r="F148" s="47"/>
      <c r="G148" s="47" t="s">
        <v>139</v>
      </c>
      <c r="H148" s="74">
        <v>0</v>
      </c>
      <c r="I148" s="74">
        <v>0</v>
      </c>
      <c r="J148" s="74">
        <v>0</v>
      </c>
      <c r="K148" s="75">
        <f>+(J148/9)*12</f>
        <v>0</v>
      </c>
      <c r="L148" s="74">
        <f>(+H148+I148)/2</f>
        <v>0</v>
      </c>
      <c r="M148" s="76">
        <f>ROUNDUP(L148,-2)</f>
        <v>0</v>
      </c>
      <c r="N148" s="48">
        <f>+M148</f>
        <v>0</v>
      </c>
      <c r="O148" s="100">
        <f>+N148</f>
        <v>0</v>
      </c>
      <c r="P148" s="120">
        <v>60</v>
      </c>
      <c r="Q148" s="173"/>
      <c r="R148" s="166"/>
    </row>
    <row r="149" spans="1:18" ht="14.1" hidden="1" customHeight="1" outlineLevel="4" x14ac:dyDescent="0.2">
      <c r="A149" s="47"/>
      <c r="B149" s="47"/>
      <c r="C149" s="47"/>
      <c r="D149" s="47"/>
      <c r="E149" s="47"/>
      <c r="F149" s="47"/>
      <c r="G149" s="47" t="s">
        <v>140</v>
      </c>
      <c r="H149" s="74">
        <v>0</v>
      </c>
      <c r="I149" s="74">
        <v>0</v>
      </c>
      <c r="J149" s="74">
        <v>0</v>
      </c>
      <c r="K149" s="75">
        <f>+(J149/9)*12</f>
        <v>0</v>
      </c>
      <c r="L149" s="74">
        <f>(+H149+I149)/2</f>
        <v>0</v>
      </c>
      <c r="M149" s="76">
        <f>ROUNDUP(L149,-2)</f>
        <v>0</v>
      </c>
      <c r="N149" s="48">
        <f>ROUNDUP(M149,-2)</f>
        <v>0</v>
      </c>
      <c r="O149" s="100">
        <f>ROUNDUP(N149,-2)</f>
        <v>0</v>
      </c>
      <c r="P149" s="120"/>
      <c r="Q149" s="173"/>
      <c r="R149" s="166"/>
    </row>
    <row r="150" spans="1:18" ht="14.1" customHeight="1" outlineLevel="4" thickBot="1" x14ac:dyDescent="0.25">
      <c r="A150" s="47"/>
      <c r="B150" s="47"/>
      <c r="C150" s="47"/>
      <c r="D150" s="47"/>
      <c r="E150" s="47"/>
      <c r="F150" s="47"/>
      <c r="G150" s="47" t="s">
        <v>227</v>
      </c>
      <c r="H150" s="74">
        <v>34586</v>
      </c>
      <c r="I150" s="74">
        <v>103222</v>
      </c>
      <c r="J150" s="74">
        <v>58299</v>
      </c>
      <c r="K150" s="75">
        <f>+(J150/9)*12</f>
        <v>77732</v>
      </c>
      <c r="L150" s="74">
        <f>(+H150+I150)/2</f>
        <v>68904</v>
      </c>
      <c r="M150" s="76">
        <f>92400+10000</f>
        <v>102400</v>
      </c>
      <c r="N150" s="48">
        <f>+M150</f>
        <v>102400</v>
      </c>
      <c r="O150" s="100">
        <f>+N150</f>
        <v>102400</v>
      </c>
      <c r="P150" s="120">
        <v>60</v>
      </c>
      <c r="Q150" s="173" t="s">
        <v>329</v>
      </c>
      <c r="R150" s="166" t="s">
        <v>354</v>
      </c>
    </row>
    <row r="151" spans="1:18" ht="14.1" hidden="1" customHeight="1" outlineLevel="4" x14ac:dyDescent="0.2">
      <c r="A151" s="47"/>
      <c r="B151" s="47"/>
      <c r="C151" s="47"/>
      <c r="D151" s="47"/>
      <c r="E151" s="47"/>
      <c r="F151" s="47"/>
      <c r="G151" s="47" t="s">
        <v>141</v>
      </c>
      <c r="H151" s="74">
        <v>0</v>
      </c>
      <c r="I151" s="74">
        <v>0</v>
      </c>
      <c r="J151" s="74">
        <v>0</v>
      </c>
      <c r="K151" s="75">
        <f>+(J151/9)*12</f>
        <v>0</v>
      </c>
      <c r="L151" s="74">
        <f>(+H151+I151)/2</f>
        <v>0</v>
      </c>
      <c r="M151" s="76">
        <v>0</v>
      </c>
      <c r="N151" s="48">
        <f>+M151</f>
        <v>0</v>
      </c>
      <c r="O151" s="100">
        <f>+N151</f>
        <v>0</v>
      </c>
      <c r="P151" s="120">
        <v>60</v>
      </c>
      <c r="Q151" s="173"/>
      <c r="R151" s="166"/>
    </row>
    <row r="152" spans="1:18" ht="14.1" hidden="1" customHeight="1" outlineLevel="4" thickBot="1" x14ac:dyDescent="0.25">
      <c r="A152" s="47"/>
      <c r="B152" s="47"/>
      <c r="C152" s="47"/>
      <c r="D152" s="47"/>
      <c r="E152" s="47"/>
      <c r="F152" s="47"/>
      <c r="G152" s="47" t="s">
        <v>142</v>
      </c>
      <c r="H152" s="77">
        <v>0</v>
      </c>
      <c r="I152" s="77">
        <v>0</v>
      </c>
      <c r="J152" s="77">
        <v>0</v>
      </c>
      <c r="K152" s="78">
        <v>0</v>
      </c>
      <c r="L152" s="77">
        <v>0</v>
      </c>
      <c r="M152" s="79">
        <v>0</v>
      </c>
      <c r="N152" s="50">
        <v>0</v>
      </c>
      <c r="O152" s="100">
        <v>0</v>
      </c>
      <c r="P152" s="120"/>
      <c r="Q152" s="173"/>
    </row>
    <row r="153" spans="1:18" ht="14.1" customHeight="1" outlineLevel="4" x14ac:dyDescent="0.2">
      <c r="A153" s="47"/>
      <c r="B153" s="47"/>
      <c r="C153" s="47"/>
      <c r="D153" s="47"/>
      <c r="E153" s="47"/>
      <c r="F153" s="47" t="s">
        <v>143</v>
      </c>
      <c r="G153" s="47"/>
      <c r="H153" s="81">
        <f>SUM(H147:H152)</f>
        <v>36948</v>
      </c>
      <c r="I153" s="81">
        <f>SUM(I147:I152)</f>
        <v>103222</v>
      </c>
      <c r="J153" s="81">
        <f t="shared" ref="J153:O153" si="41">SUM(J147:J152)</f>
        <v>58299</v>
      </c>
      <c r="K153" s="81">
        <f t="shared" si="41"/>
        <v>77732</v>
      </c>
      <c r="L153" s="81">
        <f t="shared" si="41"/>
        <v>70085</v>
      </c>
      <c r="M153" s="82">
        <f t="shared" si="41"/>
        <v>102400</v>
      </c>
      <c r="N153" s="51">
        <f t="shared" si="41"/>
        <v>102400</v>
      </c>
      <c r="O153" s="100">
        <f t="shared" si="41"/>
        <v>102400</v>
      </c>
      <c r="P153" s="120"/>
      <c r="Q153" s="173"/>
      <c r="R153" s="166"/>
    </row>
    <row r="154" spans="1:18" ht="14.1" hidden="1" customHeight="1" outlineLevel="4" x14ac:dyDescent="0.2">
      <c r="A154" s="47"/>
      <c r="B154" s="47"/>
      <c r="C154" s="47"/>
      <c r="D154" s="47"/>
      <c r="E154" s="47"/>
      <c r="F154" s="47" t="s">
        <v>144</v>
      </c>
      <c r="G154" s="47"/>
      <c r="H154" s="74">
        <v>0</v>
      </c>
      <c r="I154" s="74">
        <v>0</v>
      </c>
      <c r="J154" s="74">
        <v>0</v>
      </c>
      <c r="K154" s="75">
        <v>0</v>
      </c>
      <c r="L154" s="74">
        <v>0</v>
      </c>
      <c r="M154" s="76">
        <v>0</v>
      </c>
      <c r="N154" s="48">
        <v>0</v>
      </c>
      <c r="O154" s="100">
        <v>0</v>
      </c>
      <c r="P154" s="120"/>
      <c r="Q154" s="173"/>
      <c r="R154" s="166"/>
    </row>
    <row r="155" spans="1:18" ht="14.1" customHeight="1" outlineLevel="4" x14ac:dyDescent="0.2">
      <c r="A155" s="47"/>
      <c r="B155" s="47"/>
      <c r="C155" s="47"/>
      <c r="D155" s="47"/>
      <c r="E155" s="47"/>
      <c r="F155" s="47" t="s">
        <v>145</v>
      </c>
      <c r="G155" s="47"/>
      <c r="H155" s="74"/>
      <c r="I155" s="74"/>
      <c r="J155" s="74"/>
      <c r="K155" s="75"/>
      <c r="L155" s="74"/>
      <c r="M155" s="76"/>
      <c r="N155" s="48"/>
      <c r="O155" s="100"/>
      <c r="P155" s="120"/>
      <c r="Q155" s="173"/>
      <c r="R155" s="166"/>
    </row>
    <row r="156" spans="1:18" ht="14.1" customHeight="1" outlineLevel="4" x14ac:dyDescent="0.2">
      <c r="A156" s="47"/>
      <c r="B156" s="47"/>
      <c r="C156" s="47"/>
      <c r="D156" s="47"/>
      <c r="E156" s="47"/>
      <c r="F156" s="47"/>
      <c r="G156" s="47" t="s">
        <v>146</v>
      </c>
      <c r="H156" s="74">
        <v>370655</v>
      </c>
      <c r="I156" s="74">
        <v>148123</v>
      </c>
      <c r="J156" s="74">
        <v>0</v>
      </c>
      <c r="K156" s="75">
        <f>+(J156/9)*12</f>
        <v>0</v>
      </c>
      <c r="L156" s="74">
        <f>(+H156+I156)/2</f>
        <v>259389</v>
      </c>
      <c r="M156" s="76">
        <v>250000</v>
      </c>
      <c r="N156" s="48">
        <f t="shared" ref="N156:O159" si="42">+M156</f>
        <v>250000</v>
      </c>
      <c r="O156" s="100">
        <f t="shared" si="42"/>
        <v>250000</v>
      </c>
      <c r="P156" s="120">
        <v>70</v>
      </c>
      <c r="Q156" s="173" t="s">
        <v>330</v>
      </c>
      <c r="R156" s="166" t="s">
        <v>343</v>
      </c>
    </row>
    <row r="157" spans="1:18" ht="14.1" customHeight="1" outlineLevel="4" x14ac:dyDescent="0.2">
      <c r="A157" s="47"/>
      <c r="B157" s="47"/>
      <c r="C157" s="47"/>
      <c r="D157" s="47"/>
      <c r="E157" s="47"/>
      <c r="F157" s="47"/>
      <c r="G157" s="47" t="s">
        <v>147</v>
      </c>
      <c r="H157" s="74">
        <v>21436</v>
      </c>
      <c r="I157" s="74">
        <v>0</v>
      </c>
      <c r="J157" s="74">
        <v>0</v>
      </c>
      <c r="K157" s="75">
        <f>+(J157/9)*12</f>
        <v>0</v>
      </c>
      <c r="L157" s="74">
        <f>(+H157+I157)/2</f>
        <v>10718</v>
      </c>
      <c r="M157" s="76">
        <v>0</v>
      </c>
      <c r="N157" s="48">
        <f t="shared" si="42"/>
        <v>0</v>
      </c>
      <c r="O157" s="100">
        <f t="shared" si="42"/>
        <v>0</v>
      </c>
      <c r="P157" s="120">
        <v>70</v>
      </c>
      <c r="Q157" s="173"/>
      <c r="R157" s="166"/>
    </row>
    <row r="158" spans="1:18" ht="14.1" customHeight="1" outlineLevel="4" x14ac:dyDescent="0.2">
      <c r="A158" s="47"/>
      <c r="B158" s="47"/>
      <c r="C158" s="47"/>
      <c r="D158" s="47"/>
      <c r="E158" s="47"/>
      <c r="F158" s="47"/>
      <c r="G158" s="47" t="s">
        <v>148</v>
      </c>
      <c r="H158" s="74">
        <v>6400</v>
      </c>
      <c r="I158" s="74">
        <v>555</v>
      </c>
      <c r="J158" s="74">
        <v>4993</v>
      </c>
      <c r="K158" s="75">
        <f>+(J158/9)*12</f>
        <v>6657.3333333333339</v>
      </c>
      <c r="L158" s="74">
        <f>(+H158+I158)/2</f>
        <v>3477.5</v>
      </c>
      <c r="M158" s="76">
        <v>5000</v>
      </c>
      <c r="N158" s="48">
        <f t="shared" si="42"/>
        <v>5000</v>
      </c>
      <c r="O158" s="100">
        <f t="shared" si="42"/>
        <v>5000</v>
      </c>
      <c r="P158" s="120">
        <v>75</v>
      </c>
      <c r="Q158" s="173" t="s">
        <v>330</v>
      </c>
      <c r="R158" s="166" t="s">
        <v>343</v>
      </c>
    </row>
    <row r="159" spans="1:18" ht="14.1" customHeight="1" outlineLevel="4" x14ac:dyDescent="0.2">
      <c r="A159" s="47"/>
      <c r="B159" s="47"/>
      <c r="C159" s="47"/>
      <c r="D159" s="47"/>
      <c r="E159" s="47"/>
      <c r="F159" s="47"/>
      <c r="G159" s="47" t="s">
        <v>149</v>
      </c>
      <c r="H159" s="74">
        <v>0</v>
      </c>
      <c r="I159" s="74">
        <v>50</v>
      </c>
      <c r="J159" s="74">
        <v>0</v>
      </c>
      <c r="K159" s="75">
        <f>+(J159/9)*12</f>
        <v>0</v>
      </c>
      <c r="L159" s="74">
        <f>(+H159+I159)/2</f>
        <v>25</v>
      </c>
      <c r="M159" s="76">
        <v>0</v>
      </c>
      <c r="N159" s="48">
        <f t="shared" si="42"/>
        <v>0</v>
      </c>
      <c r="O159" s="100">
        <f t="shared" si="42"/>
        <v>0</v>
      </c>
      <c r="P159" s="120">
        <v>70</v>
      </c>
      <c r="Q159" s="173"/>
      <c r="R159" s="166"/>
    </row>
    <row r="160" spans="1:18" ht="14.1" customHeight="1" outlineLevel="4" thickBot="1" x14ac:dyDescent="0.25">
      <c r="A160" s="47"/>
      <c r="B160" s="47"/>
      <c r="C160" s="47"/>
      <c r="D160" s="47"/>
      <c r="E160" s="47"/>
      <c r="F160" s="47"/>
      <c r="G160" s="47" t="s">
        <v>355</v>
      </c>
      <c r="H160" s="77">
        <v>1000</v>
      </c>
      <c r="I160" s="77">
        <v>0</v>
      </c>
      <c r="J160" s="77">
        <v>0</v>
      </c>
      <c r="K160" s="75">
        <f>+(J160/9)*12</f>
        <v>0</v>
      </c>
      <c r="L160" s="74">
        <f>(+H160+I160)/2</f>
        <v>500</v>
      </c>
      <c r="M160" s="79">
        <v>0</v>
      </c>
      <c r="N160" s="50">
        <v>0</v>
      </c>
      <c r="O160" s="100">
        <v>0</v>
      </c>
      <c r="P160" s="120">
        <v>70</v>
      </c>
      <c r="Q160" s="173"/>
      <c r="R160" s="166"/>
    </row>
    <row r="161" spans="1:20" ht="14.1" customHeight="1" outlineLevel="4" thickBot="1" x14ac:dyDescent="0.25">
      <c r="A161" s="47"/>
      <c r="B161" s="47"/>
      <c r="C161" s="47"/>
      <c r="D161" s="47"/>
      <c r="E161" s="47"/>
      <c r="F161" s="47" t="s">
        <v>150</v>
      </c>
      <c r="G161" s="47"/>
      <c r="H161" s="81">
        <f>SUM(H156:H160)</f>
        <v>399491</v>
      </c>
      <c r="I161" s="81">
        <f>SUM(I156:I160)</f>
        <v>148728</v>
      </c>
      <c r="J161" s="81">
        <f t="shared" ref="J161:O161" si="43">SUM(J156:J160)</f>
        <v>4993</v>
      </c>
      <c r="K161" s="81">
        <f t="shared" si="43"/>
        <v>6657.3333333333339</v>
      </c>
      <c r="L161" s="81">
        <f t="shared" si="43"/>
        <v>274109.5</v>
      </c>
      <c r="M161" s="82">
        <f t="shared" si="43"/>
        <v>255000</v>
      </c>
      <c r="N161" s="52">
        <f t="shared" si="43"/>
        <v>255000</v>
      </c>
      <c r="O161" s="100">
        <f t="shared" si="43"/>
        <v>255000</v>
      </c>
      <c r="P161" s="120"/>
      <c r="R161" s="166"/>
    </row>
    <row r="162" spans="1:20" ht="14.1" customHeight="1" outlineLevel="4" thickBot="1" x14ac:dyDescent="0.25">
      <c r="A162" s="47"/>
      <c r="B162" s="47"/>
      <c r="C162" s="47"/>
      <c r="D162" s="47"/>
      <c r="E162" s="47"/>
      <c r="F162" s="47" t="s">
        <v>239</v>
      </c>
      <c r="G162" s="47"/>
      <c r="H162" s="78">
        <v>0</v>
      </c>
      <c r="I162" s="78">
        <v>4258</v>
      </c>
      <c r="J162" s="78">
        <v>536</v>
      </c>
      <c r="K162" s="75">
        <f>+(J162/9)*12</f>
        <v>714.66666666666674</v>
      </c>
      <c r="L162" s="78">
        <v>0</v>
      </c>
      <c r="M162" s="79">
        <v>2500</v>
      </c>
      <c r="N162" s="50">
        <v>0</v>
      </c>
      <c r="O162" s="100">
        <v>0</v>
      </c>
      <c r="P162" s="120">
        <v>90</v>
      </c>
      <c r="Q162" s="173" t="s">
        <v>332</v>
      </c>
      <c r="R162" s="166" t="s">
        <v>331</v>
      </c>
    </row>
    <row r="163" spans="1:20" ht="14.1" customHeight="1" outlineLevel="3" thickBot="1" x14ac:dyDescent="0.25">
      <c r="A163" s="47"/>
      <c r="B163" s="47"/>
      <c r="C163" s="47"/>
      <c r="D163" s="47"/>
      <c r="E163" s="47" t="s">
        <v>151</v>
      </c>
      <c r="F163" s="47"/>
      <c r="G163" s="47"/>
      <c r="H163" s="84">
        <f t="shared" ref="H163:M163" si="44">+H161+H153+H144+H143+H142+H141+H140+H145+H162</f>
        <v>942672</v>
      </c>
      <c r="I163" s="84">
        <f t="shared" si="44"/>
        <v>454943</v>
      </c>
      <c r="J163" s="84">
        <f t="shared" si="44"/>
        <v>191370</v>
      </c>
      <c r="K163" s="84">
        <f t="shared" si="44"/>
        <v>255160</v>
      </c>
      <c r="L163" s="84">
        <f t="shared" si="44"/>
        <v>696678.5</v>
      </c>
      <c r="M163" s="85">
        <f t="shared" si="44"/>
        <v>722600</v>
      </c>
      <c r="N163" s="51">
        <f>+N161+N153+N144+N143+N142+N141+N140</f>
        <v>528100</v>
      </c>
      <c r="O163" s="100">
        <f>+O161+O153+O144+O143+O142+O141+O140</f>
        <v>528100</v>
      </c>
      <c r="P163" s="120"/>
      <c r="Q163" s="173"/>
      <c r="R163" s="166"/>
    </row>
    <row r="164" spans="1:20" ht="14.1" customHeight="1" outlineLevel="4" x14ac:dyDescent="0.2">
      <c r="A164" s="47"/>
      <c r="B164" s="47"/>
      <c r="C164" s="47"/>
      <c r="D164" s="47"/>
      <c r="E164" s="47" t="s">
        <v>224</v>
      </c>
      <c r="F164" s="47"/>
      <c r="G164" s="47"/>
      <c r="H164" s="106">
        <v>493070</v>
      </c>
      <c r="I164" s="106">
        <v>535335</v>
      </c>
      <c r="J164" s="106">
        <v>376830</v>
      </c>
      <c r="K164" s="106">
        <v>452029.6</v>
      </c>
      <c r="L164" s="107">
        <f>(+H164+I164)/2</f>
        <v>514202.5</v>
      </c>
      <c r="M164" s="122">
        <v>418000</v>
      </c>
      <c r="N164" s="53">
        <f>+M164</f>
        <v>418000</v>
      </c>
      <c r="O164" s="103">
        <f>+N164</f>
        <v>418000</v>
      </c>
      <c r="P164" s="120">
        <v>45</v>
      </c>
      <c r="Q164" s="173" t="s">
        <v>334</v>
      </c>
      <c r="R164" s="166" t="s">
        <v>338</v>
      </c>
    </row>
    <row r="165" spans="1:20" ht="14.1" customHeight="1" outlineLevel="4" x14ac:dyDescent="0.2">
      <c r="A165" s="47"/>
      <c r="B165" s="47"/>
      <c r="C165" s="47"/>
      <c r="D165" s="47"/>
      <c r="E165" s="47" t="s">
        <v>236</v>
      </c>
      <c r="F165" s="47"/>
      <c r="G165" s="47"/>
      <c r="H165" s="74"/>
      <c r="I165" s="74"/>
      <c r="J165" s="74"/>
      <c r="K165" s="75"/>
      <c r="L165" s="74"/>
      <c r="M165" s="76"/>
      <c r="N165" s="48"/>
      <c r="O165" s="100"/>
      <c r="P165" s="120"/>
      <c r="Q165" s="173"/>
      <c r="R165" s="166"/>
    </row>
    <row r="166" spans="1:20" ht="14.1" customHeight="1" outlineLevel="4" x14ac:dyDescent="0.2">
      <c r="A166" s="47"/>
      <c r="B166" s="47"/>
      <c r="C166" s="47"/>
      <c r="D166" s="47"/>
      <c r="E166" s="47"/>
      <c r="F166" s="47" t="s">
        <v>152</v>
      </c>
      <c r="G166" s="47"/>
      <c r="H166" s="74">
        <v>13735</v>
      </c>
      <c r="I166" s="74">
        <v>8070</v>
      </c>
      <c r="J166" s="74">
        <v>7074</v>
      </c>
      <c r="K166" s="75">
        <f t="shared" ref="K166:K176" si="45">+(J166/9)*12</f>
        <v>9432</v>
      </c>
      <c r="L166" s="74">
        <f t="shared" ref="L166:L176" si="46">(+H166+I166)/2</f>
        <v>10902.5</v>
      </c>
      <c r="M166" s="123">
        <f>+'Office-Admin Exps - ENTER ADMIN'!E13</f>
        <v>9400</v>
      </c>
      <c r="N166" s="48">
        <f t="shared" ref="N166:O169" si="47">+M166</f>
        <v>9400</v>
      </c>
      <c r="O166" s="100">
        <f t="shared" si="47"/>
        <v>9400</v>
      </c>
      <c r="P166" s="119">
        <v>40</v>
      </c>
      <c r="Q166" s="173" t="s">
        <v>339</v>
      </c>
      <c r="R166" s="166" t="s">
        <v>340</v>
      </c>
    </row>
    <row r="167" spans="1:20" ht="14.1" hidden="1" customHeight="1" outlineLevel="4" x14ac:dyDescent="0.2">
      <c r="A167" s="47"/>
      <c r="B167" s="47"/>
      <c r="C167" s="47"/>
      <c r="D167" s="47"/>
      <c r="E167" s="47"/>
      <c r="F167" s="47" t="s">
        <v>153</v>
      </c>
      <c r="G167" s="47"/>
      <c r="H167" s="74">
        <v>0</v>
      </c>
      <c r="I167" s="74">
        <v>0</v>
      </c>
      <c r="J167" s="74">
        <v>0</v>
      </c>
      <c r="K167" s="75">
        <f t="shared" si="45"/>
        <v>0</v>
      </c>
      <c r="L167" s="74">
        <f t="shared" si="46"/>
        <v>0</v>
      </c>
      <c r="M167" s="123">
        <f>ROUNDDOWN(K167,-2)</f>
        <v>0</v>
      </c>
      <c r="N167" s="48">
        <f t="shared" si="47"/>
        <v>0</v>
      </c>
      <c r="O167" s="100">
        <f t="shared" si="47"/>
        <v>0</v>
      </c>
      <c r="P167" s="119"/>
      <c r="Q167" s="173"/>
      <c r="R167" s="166"/>
    </row>
    <row r="168" spans="1:20" ht="14.1" customHeight="1" outlineLevel="4" x14ac:dyDescent="0.2">
      <c r="A168" s="47"/>
      <c r="B168" s="47"/>
      <c r="C168" s="47"/>
      <c r="D168" s="47"/>
      <c r="E168" s="47"/>
      <c r="F168" s="47" t="s">
        <v>154</v>
      </c>
      <c r="G168" s="47"/>
      <c r="H168" s="74">
        <v>15499</v>
      </c>
      <c r="I168" s="74">
        <v>15933</v>
      </c>
      <c r="J168" s="74">
        <v>9449</v>
      </c>
      <c r="K168" s="75">
        <f t="shared" si="45"/>
        <v>12598.666666666668</v>
      </c>
      <c r="L168" s="74">
        <f t="shared" si="46"/>
        <v>15716</v>
      </c>
      <c r="M168" s="123">
        <f>+'Office-Admin Exps - ENTER ADMIN'!E15</f>
        <v>12500</v>
      </c>
      <c r="N168" s="48">
        <f t="shared" si="47"/>
        <v>12500</v>
      </c>
      <c r="O168" s="100">
        <f t="shared" si="47"/>
        <v>12500</v>
      </c>
      <c r="P168" s="119">
        <v>40</v>
      </c>
      <c r="Q168" s="173" t="s">
        <v>339</v>
      </c>
      <c r="R168" s="166" t="s">
        <v>340</v>
      </c>
    </row>
    <row r="169" spans="1:20" ht="14.1" customHeight="1" outlineLevel="4" x14ac:dyDescent="0.2">
      <c r="A169" s="47"/>
      <c r="B169" s="47"/>
      <c r="C169" s="47"/>
      <c r="D169" s="47"/>
      <c r="E169" s="47"/>
      <c r="F169" s="47" t="s">
        <v>155</v>
      </c>
      <c r="G169" s="47"/>
      <c r="H169" s="74">
        <v>2653</v>
      </c>
      <c r="I169" s="74">
        <v>2173</v>
      </c>
      <c r="J169" s="74">
        <v>5160</v>
      </c>
      <c r="K169" s="75">
        <f t="shared" si="45"/>
        <v>6880</v>
      </c>
      <c r="L169" s="74">
        <f t="shared" si="46"/>
        <v>2413</v>
      </c>
      <c r="M169" s="123">
        <f>+'Office-Admin Exps - ENTER ADMIN'!E16</f>
        <v>6800</v>
      </c>
      <c r="N169" s="48">
        <f t="shared" si="47"/>
        <v>6800</v>
      </c>
      <c r="O169" s="100">
        <f t="shared" si="47"/>
        <v>6800</v>
      </c>
      <c r="P169" s="119">
        <v>40</v>
      </c>
      <c r="Q169" s="173" t="s">
        <v>339</v>
      </c>
      <c r="R169" s="166" t="s">
        <v>340</v>
      </c>
    </row>
    <row r="170" spans="1:20" ht="14.1" customHeight="1" outlineLevel="4" x14ac:dyDescent="0.2">
      <c r="A170" s="47"/>
      <c r="B170" s="47"/>
      <c r="C170" s="47"/>
      <c r="D170" s="47"/>
      <c r="E170" s="47"/>
      <c r="F170" s="47" t="s">
        <v>156</v>
      </c>
      <c r="G170" s="47"/>
      <c r="H170" s="74">
        <v>14091</v>
      </c>
      <c r="I170" s="74">
        <v>11510</v>
      </c>
      <c r="J170" s="74">
        <v>7369</v>
      </c>
      <c r="K170" s="75">
        <f t="shared" si="45"/>
        <v>9825.3333333333339</v>
      </c>
      <c r="L170" s="74">
        <f t="shared" si="46"/>
        <v>12800.5</v>
      </c>
      <c r="M170" s="123">
        <f>+'Office-Admin Exps - ENTER ADMIN'!E17</f>
        <v>9800</v>
      </c>
      <c r="N170" s="48">
        <f t="shared" ref="N170:O172" si="48">+M170</f>
        <v>9800</v>
      </c>
      <c r="O170" s="100">
        <f t="shared" si="48"/>
        <v>9800</v>
      </c>
      <c r="P170" s="119">
        <v>40</v>
      </c>
      <c r="Q170" s="173" t="s">
        <v>339</v>
      </c>
      <c r="R170" s="166" t="s">
        <v>340</v>
      </c>
    </row>
    <row r="171" spans="1:20" ht="14.1" customHeight="1" outlineLevel="4" x14ac:dyDescent="0.2">
      <c r="A171" s="47"/>
      <c r="B171" s="47"/>
      <c r="C171" s="47"/>
      <c r="D171" s="47"/>
      <c r="E171" s="47"/>
      <c r="F171" s="47" t="s">
        <v>157</v>
      </c>
      <c r="G171" s="47"/>
      <c r="H171" s="74">
        <v>24455</v>
      </c>
      <c r="I171" s="74">
        <v>26792</v>
      </c>
      <c r="J171" s="74">
        <v>15574</v>
      </c>
      <c r="K171" s="75">
        <f t="shared" si="45"/>
        <v>20765.333333333332</v>
      </c>
      <c r="L171" s="74">
        <f t="shared" si="46"/>
        <v>25623.5</v>
      </c>
      <c r="M171" s="123">
        <f>+'Office-Admin Exps - ENTER ADMIN'!E18</f>
        <v>20700</v>
      </c>
      <c r="N171" s="48">
        <f>+M171</f>
        <v>20700</v>
      </c>
      <c r="O171" s="100">
        <f>+N171</f>
        <v>20700</v>
      </c>
      <c r="P171" s="119">
        <v>40</v>
      </c>
      <c r="Q171" s="173" t="s">
        <v>339</v>
      </c>
      <c r="R171" s="166" t="s">
        <v>340</v>
      </c>
    </row>
    <row r="172" spans="1:20" ht="14.1" customHeight="1" outlineLevel="4" x14ac:dyDescent="0.2">
      <c r="A172" s="47"/>
      <c r="B172" s="47"/>
      <c r="C172" s="47"/>
      <c r="D172" s="47"/>
      <c r="E172" s="47"/>
      <c r="F172" s="47" t="s">
        <v>158</v>
      </c>
      <c r="G172" s="47"/>
      <c r="H172" s="74">
        <v>6811</v>
      </c>
      <c r="I172" s="74">
        <v>7758</v>
      </c>
      <c r="J172" s="74">
        <v>8658</v>
      </c>
      <c r="K172" s="75">
        <f t="shared" si="45"/>
        <v>11544</v>
      </c>
      <c r="L172" s="74">
        <f t="shared" si="46"/>
        <v>7284.5</v>
      </c>
      <c r="M172" s="123">
        <f>+'Office-Admin Exps - ENTER ADMIN'!E19</f>
        <v>11500</v>
      </c>
      <c r="N172" s="48">
        <f t="shared" si="48"/>
        <v>11500</v>
      </c>
      <c r="O172" s="100">
        <f t="shared" si="48"/>
        <v>11500</v>
      </c>
      <c r="P172" s="119">
        <v>40</v>
      </c>
      <c r="Q172" s="173" t="s">
        <v>339</v>
      </c>
      <c r="R172" s="166" t="s">
        <v>340</v>
      </c>
    </row>
    <row r="173" spans="1:20" ht="14.1" customHeight="1" outlineLevel="4" x14ac:dyDescent="0.2">
      <c r="A173" s="47"/>
      <c r="B173" s="47"/>
      <c r="C173" s="47"/>
      <c r="D173" s="47"/>
      <c r="E173" s="47"/>
      <c r="F173" s="47" t="s">
        <v>216</v>
      </c>
      <c r="G173" s="47"/>
      <c r="H173" s="74">
        <v>53513</v>
      </c>
      <c r="I173" s="74">
        <v>49437</v>
      </c>
      <c r="J173" s="74">
        <v>33965</v>
      </c>
      <c r="K173" s="75">
        <f t="shared" si="45"/>
        <v>45286.666666666664</v>
      </c>
      <c r="L173" s="74">
        <f t="shared" si="46"/>
        <v>51475</v>
      </c>
      <c r="M173" s="123">
        <f>+'Office-Admin Exps - ENTER ADMIN'!E20</f>
        <v>45700</v>
      </c>
      <c r="N173" s="54" t="e">
        <f>+#REF!</f>
        <v>#REF!</v>
      </c>
      <c r="O173" s="103" t="e">
        <f>+#REF!</f>
        <v>#REF!</v>
      </c>
      <c r="P173" s="119">
        <v>40</v>
      </c>
      <c r="Q173" s="173" t="s">
        <v>339</v>
      </c>
      <c r="R173" s="166" t="s">
        <v>340</v>
      </c>
      <c r="S173" s="35"/>
      <c r="T173" s="35"/>
    </row>
    <row r="174" spans="1:20" ht="14.1" customHeight="1" outlineLevel="4" x14ac:dyDescent="0.2">
      <c r="A174" s="47"/>
      <c r="B174" s="47"/>
      <c r="C174" s="47"/>
      <c r="D174" s="47"/>
      <c r="E174" s="47"/>
      <c r="F174" s="47" t="s">
        <v>159</v>
      </c>
      <c r="G174" s="47"/>
      <c r="H174" s="74">
        <v>8832</v>
      </c>
      <c r="I174" s="74">
        <v>4731</v>
      </c>
      <c r="J174" s="74">
        <v>9513</v>
      </c>
      <c r="K174" s="75">
        <f t="shared" si="45"/>
        <v>12684</v>
      </c>
      <c r="L174" s="74">
        <f t="shared" si="46"/>
        <v>6781.5</v>
      </c>
      <c r="M174" s="123">
        <f>+'Office-Admin Exps - ENTER ADMIN'!E21</f>
        <v>12600</v>
      </c>
      <c r="N174" s="48">
        <f t="shared" ref="N174:O176" si="49">+M174</f>
        <v>12600</v>
      </c>
      <c r="O174" s="100">
        <f t="shared" si="49"/>
        <v>12600</v>
      </c>
      <c r="P174" s="119">
        <v>40</v>
      </c>
      <c r="Q174" s="173" t="s">
        <v>339</v>
      </c>
      <c r="R174" s="166" t="s">
        <v>340</v>
      </c>
    </row>
    <row r="175" spans="1:20" ht="14.1" customHeight="1" outlineLevel="4" x14ac:dyDescent="0.2">
      <c r="A175" s="47"/>
      <c r="B175" s="47"/>
      <c r="C175" s="47"/>
      <c r="D175" s="47"/>
      <c r="E175" s="47"/>
      <c r="F175" s="47" t="s">
        <v>160</v>
      </c>
      <c r="G175" s="47"/>
      <c r="H175" s="74">
        <v>100259</v>
      </c>
      <c r="I175" s="74">
        <v>78457</v>
      </c>
      <c r="J175" s="74">
        <v>44386</v>
      </c>
      <c r="K175" s="75">
        <f t="shared" si="45"/>
        <v>59181.333333333328</v>
      </c>
      <c r="L175" s="74">
        <f t="shared" si="46"/>
        <v>89358</v>
      </c>
      <c r="M175" s="123">
        <f>+'Office-Admin Exps - ENTER ADMIN'!E22</f>
        <v>72000</v>
      </c>
      <c r="N175" s="48">
        <f t="shared" si="49"/>
        <v>72000</v>
      </c>
      <c r="O175" s="100">
        <f t="shared" si="49"/>
        <v>72000</v>
      </c>
      <c r="P175" s="119">
        <v>40</v>
      </c>
      <c r="Q175" s="173" t="s">
        <v>339</v>
      </c>
      <c r="R175" s="166" t="s">
        <v>340</v>
      </c>
    </row>
    <row r="176" spans="1:20" ht="14.1" customHeight="1" outlineLevel="4" thickBot="1" x14ac:dyDescent="0.25">
      <c r="A176" s="47"/>
      <c r="B176" s="47"/>
      <c r="C176" s="47"/>
      <c r="D176" s="47"/>
      <c r="E176" s="47"/>
      <c r="F176" s="47" t="s">
        <v>161</v>
      </c>
      <c r="G176" s="47"/>
      <c r="H176" s="74">
        <v>9022</v>
      </c>
      <c r="I176" s="74">
        <v>9578</v>
      </c>
      <c r="J176" s="74">
        <v>5187</v>
      </c>
      <c r="K176" s="75">
        <f t="shared" si="45"/>
        <v>6916</v>
      </c>
      <c r="L176" s="74">
        <f t="shared" si="46"/>
        <v>9300</v>
      </c>
      <c r="M176" s="123">
        <f>+'Office-Admin Exps - ENTER ADMIN'!E23</f>
        <v>6900</v>
      </c>
      <c r="N176" s="48">
        <f t="shared" si="49"/>
        <v>6900</v>
      </c>
      <c r="O176" s="100">
        <f t="shared" si="49"/>
        <v>6900</v>
      </c>
      <c r="P176" s="119">
        <v>40</v>
      </c>
      <c r="Q176" s="173" t="s">
        <v>339</v>
      </c>
      <c r="R176" s="166" t="s">
        <v>340</v>
      </c>
    </row>
    <row r="177" spans="1:18" ht="14.1" hidden="1" customHeight="1" outlineLevel="4" thickBot="1" x14ac:dyDescent="0.25">
      <c r="A177" s="47"/>
      <c r="B177" s="47"/>
      <c r="C177" s="47"/>
      <c r="D177" s="47"/>
      <c r="E177" s="47"/>
      <c r="F177" s="47" t="s">
        <v>162</v>
      </c>
      <c r="G177" s="47"/>
      <c r="H177" s="77">
        <v>0</v>
      </c>
      <c r="I177" s="77">
        <v>0</v>
      </c>
      <c r="J177" s="77">
        <v>0</v>
      </c>
      <c r="K177" s="78">
        <v>0</v>
      </c>
      <c r="L177" s="77">
        <v>0</v>
      </c>
      <c r="M177" s="79">
        <v>0</v>
      </c>
      <c r="N177" s="50">
        <v>0</v>
      </c>
      <c r="O177" s="100">
        <v>0</v>
      </c>
      <c r="P177" s="120"/>
      <c r="Q177" s="173"/>
      <c r="R177" s="166"/>
    </row>
    <row r="178" spans="1:18" ht="14.1" customHeight="1" outlineLevel="3" collapsed="1" x14ac:dyDescent="0.2">
      <c r="A178" s="47"/>
      <c r="B178" s="47"/>
      <c r="C178" s="47"/>
      <c r="D178" s="47"/>
      <c r="E178" s="47" t="s">
        <v>163</v>
      </c>
      <c r="F178" s="47"/>
      <c r="G178" s="47"/>
      <c r="H178" s="81">
        <f>SUM(H166:H177)</f>
        <v>248870</v>
      </c>
      <c r="I178" s="81">
        <f>SUM(I166:I177)</f>
        <v>214439</v>
      </c>
      <c r="J178" s="81">
        <f t="shared" ref="J178:O178" si="50">SUM(J166:J177)</f>
        <v>146335</v>
      </c>
      <c r="K178" s="81">
        <f t="shared" si="50"/>
        <v>195113.33333333331</v>
      </c>
      <c r="L178" s="81">
        <f t="shared" si="50"/>
        <v>231654.5</v>
      </c>
      <c r="M178" s="124">
        <f t="shared" si="50"/>
        <v>207900</v>
      </c>
      <c r="N178" s="51" t="e">
        <f t="shared" si="50"/>
        <v>#REF!</v>
      </c>
      <c r="O178" s="100" t="e">
        <f t="shared" si="50"/>
        <v>#REF!</v>
      </c>
      <c r="P178" s="120"/>
      <c r="Q178" s="173"/>
      <c r="R178" s="166"/>
    </row>
    <row r="179" spans="1:18" ht="14.1" customHeight="1" outlineLevel="4" x14ac:dyDescent="0.2">
      <c r="A179" s="47"/>
      <c r="B179" s="47"/>
      <c r="C179" s="47"/>
      <c r="D179" s="47"/>
      <c r="E179" s="47" t="s">
        <v>237</v>
      </c>
      <c r="F179" s="47"/>
      <c r="G179" s="47"/>
      <c r="H179" s="74"/>
      <c r="I179" s="74"/>
      <c r="J179" s="74"/>
      <c r="K179" s="75"/>
      <c r="L179" s="74"/>
      <c r="M179" s="76"/>
      <c r="N179" s="48"/>
      <c r="O179" s="100"/>
      <c r="P179" s="120"/>
      <c r="Q179" s="173"/>
      <c r="R179" s="166"/>
    </row>
    <row r="180" spans="1:18" ht="14.1" customHeight="1" outlineLevel="4" x14ac:dyDescent="0.2">
      <c r="A180" s="47"/>
      <c r="B180" s="47"/>
      <c r="C180" s="47"/>
      <c r="D180" s="47"/>
      <c r="E180" s="47"/>
      <c r="F180" s="47" t="s">
        <v>164</v>
      </c>
      <c r="G180" s="47"/>
      <c r="H180" s="74"/>
      <c r="I180" s="74"/>
      <c r="J180" s="74"/>
      <c r="K180" s="75"/>
      <c r="L180" s="74"/>
      <c r="M180" s="76"/>
      <c r="N180" s="48"/>
      <c r="O180" s="100"/>
      <c r="P180" s="120"/>
      <c r="Q180" s="173"/>
      <c r="R180" s="166"/>
    </row>
    <row r="181" spans="1:18" ht="14.1" customHeight="1" outlineLevel="4" x14ac:dyDescent="0.2">
      <c r="A181" s="47"/>
      <c r="B181" s="47"/>
      <c r="C181" s="47"/>
      <c r="D181" s="47"/>
      <c r="E181" s="47"/>
      <c r="F181" s="47"/>
      <c r="G181" s="47" t="s">
        <v>165</v>
      </c>
      <c r="H181" s="74">
        <v>46087</v>
      </c>
      <c r="I181" s="74">
        <v>55175</v>
      </c>
      <c r="J181" s="74">
        <v>40670</v>
      </c>
      <c r="K181" s="75">
        <f>+(J181/9)*12</f>
        <v>54226.666666666664</v>
      </c>
      <c r="L181" s="74">
        <f>(+H181+I181)/2</f>
        <v>50631</v>
      </c>
      <c r="M181" s="123">
        <f>+'Office-Admin Exps - ENTER ADMIN'!E24</f>
        <v>54200</v>
      </c>
      <c r="N181" s="48">
        <f>+M181</f>
        <v>54200</v>
      </c>
      <c r="O181" s="100">
        <f>+N181</f>
        <v>54200</v>
      </c>
      <c r="P181" s="119">
        <v>40</v>
      </c>
      <c r="Q181" s="173" t="s">
        <v>339</v>
      </c>
      <c r="R181" s="166" t="s">
        <v>340</v>
      </c>
    </row>
    <row r="182" spans="1:18" ht="14.1" customHeight="1" outlineLevel="4" thickBot="1" x14ac:dyDescent="0.25">
      <c r="A182" s="47"/>
      <c r="B182" s="47"/>
      <c r="C182" s="47"/>
      <c r="D182" s="47"/>
      <c r="E182" s="47"/>
      <c r="F182" s="47"/>
      <c r="G182" s="47" t="s">
        <v>166</v>
      </c>
      <c r="H182" s="74">
        <v>5108</v>
      </c>
      <c r="I182" s="74">
        <v>3859</v>
      </c>
      <c r="J182" s="74">
        <v>13271</v>
      </c>
      <c r="K182" s="75">
        <f>+(J182/9)*12</f>
        <v>17694.666666666668</v>
      </c>
      <c r="L182" s="74">
        <f>(+H182+I182)/2</f>
        <v>4483.5</v>
      </c>
      <c r="M182" s="76">
        <v>10900</v>
      </c>
      <c r="N182" s="48">
        <f>+M182</f>
        <v>10900</v>
      </c>
      <c r="O182" s="100">
        <f>+N182</f>
        <v>10900</v>
      </c>
      <c r="P182" s="119">
        <v>75</v>
      </c>
      <c r="Q182" s="174" t="s">
        <v>300</v>
      </c>
      <c r="R182" s="166" t="s">
        <v>303</v>
      </c>
    </row>
    <row r="183" spans="1:18" ht="14.1" hidden="1" customHeight="1" outlineLevel="4" thickBot="1" x14ac:dyDescent="0.25">
      <c r="A183" s="47"/>
      <c r="B183" s="47"/>
      <c r="C183" s="47"/>
      <c r="D183" s="47"/>
      <c r="E183" s="47"/>
      <c r="F183" s="47"/>
      <c r="G183" s="47" t="s">
        <v>167</v>
      </c>
      <c r="H183" s="77">
        <v>0</v>
      </c>
      <c r="I183" s="77">
        <v>0</v>
      </c>
      <c r="J183" s="77">
        <v>0</v>
      </c>
      <c r="K183" s="78">
        <v>0</v>
      </c>
      <c r="L183" s="77">
        <v>0</v>
      </c>
      <c r="M183" s="79">
        <v>0</v>
      </c>
      <c r="N183" s="50">
        <v>0</v>
      </c>
      <c r="O183" s="100">
        <v>0</v>
      </c>
      <c r="P183" s="120"/>
      <c r="Q183" s="173"/>
      <c r="R183" s="166"/>
    </row>
    <row r="184" spans="1:18" ht="14.1" customHeight="1" outlineLevel="4" x14ac:dyDescent="0.2">
      <c r="A184" s="47"/>
      <c r="B184" s="47"/>
      <c r="C184" s="47"/>
      <c r="D184" s="47"/>
      <c r="E184" s="47"/>
      <c r="F184" s="47" t="s">
        <v>168</v>
      </c>
      <c r="G184" s="47"/>
      <c r="H184" s="81">
        <f>SUM(H181:H183)</f>
        <v>51195</v>
      </c>
      <c r="I184" s="81">
        <f>SUM(I181:I183)</f>
        <v>59034</v>
      </c>
      <c r="J184" s="81">
        <f t="shared" ref="J184:O184" si="51">SUM(J181:J183)</f>
        <v>53941</v>
      </c>
      <c r="K184" s="81">
        <f t="shared" si="51"/>
        <v>71921.333333333328</v>
      </c>
      <c r="L184" s="81">
        <f t="shared" si="51"/>
        <v>55114.5</v>
      </c>
      <c r="M184" s="82">
        <f t="shared" si="51"/>
        <v>65100</v>
      </c>
      <c r="N184" s="51">
        <f t="shared" si="51"/>
        <v>65100</v>
      </c>
      <c r="O184" s="100">
        <f t="shared" si="51"/>
        <v>65100</v>
      </c>
      <c r="P184" s="120"/>
      <c r="Q184" s="173"/>
      <c r="R184" s="166"/>
    </row>
    <row r="185" spans="1:18" ht="14.1" customHeight="1" outlineLevel="4" x14ac:dyDescent="0.2">
      <c r="A185" s="47"/>
      <c r="B185" s="47"/>
      <c r="C185" s="47"/>
      <c r="D185" s="47"/>
      <c r="E185" s="47"/>
      <c r="F185" s="47" t="s">
        <v>169</v>
      </c>
      <c r="G185" s="47"/>
      <c r="H185" s="74">
        <v>16500</v>
      </c>
      <c r="I185" s="74">
        <v>15500</v>
      </c>
      <c r="J185" s="74">
        <v>16500</v>
      </c>
      <c r="K185" s="75">
        <f>+J185</f>
        <v>16500</v>
      </c>
      <c r="L185" s="74">
        <f>(+H185+I185)/2</f>
        <v>16000</v>
      </c>
      <c r="M185" s="123">
        <f>+'Office-Admin Exps - ENTER ADMIN'!E25</f>
        <v>16500</v>
      </c>
      <c r="N185" s="48">
        <f>+M185</f>
        <v>16500</v>
      </c>
      <c r="O185" s="100">
        <f>+N185</f>
        <v>16500</v>
      </c>
      <c r="P185" s="119">
        <v>40</v>
      </c>
      <c r="Q185" s="173" t="s">
        <v>339</v>
      </c>
      <c r="R185" s="166" t="s">
        <v>340</v>
      </c>
    </row>
    <row r="186" spans="1:18" ht="14.1" customHeight="1" outlineLevel="4" thickBot="1" x14ac:dyDescent="0.25">
      <c r="A186" s="47"/>
      <c r="B186" s="47"/>
      <c r="C186" s="47"/>
      <c r="D186" s="47"/>
      <c r="E186" s="47"/>
      <c r="F186" s="47" t="s">
        <v>170</v>
      </c>
      <c r="G186" s="47"/>
      <c r="H186" s="74">
        <v>18000</v>
      </c>
      <c r="I186" s="74">
        <v>18000</v>
      </c>
      <c r="J186" s="74">
        <v>13500</v>
      </c>
      <c r="K186" s="75">
        <f>+(J186/9)*12</f>
        <v>18000</v>
      </c>
      <c r="L186" s="74">
        <f>(+H186+I186)/2</f>
        <v>18000</v>
      </c>
      <c r="M186" s="123">
        <f>+'Office-Admin Exps - ENTER ADMIN'!E26</f>
        <v>19200</v>
      </c>
      <c r="N186" s="48">
        <f>+M186</f>
        <v>19200</v>
      </c>
      <c r="O186" s="100">
        <f>+N186</f>
        <v>19200</v>
      </c>
      <c r="P186" s="119">
        <v>40</v>
      </c>
      <c r="Q186" s="173" t="s">
        <v>339</v>
      </c>
      <c r="R186" s="166" t="s">
        <v>340</v>
      </c>
    </row>
    <row r="187" spans="1:18" ht="14.25" hidden="1" customHeight="1" outlineLevel="4" x14ac:dyDescent="0.2">
      <c r="A187" s="47"/>
      <c r="B187" s="47"/>
      <c r="C187" s="47"/>
      <c r="D187" s="47"/>
      <c r="E187" s="47"/>
      <c r="F187" s="47" t="s">
        <v>171</v>
      </c>
      <c r="G187" s="47"/>
      <c r="H187" s="74">
        <v>0</v>
      </c>
      <c r="I187" s="74">
        <v>0</v>
      </c>
      <c r="J187" s="74">
        <v>0</v>
      </c>
      <c r="K187" s="75">
        <v>0</v>
      </c>
      <c r="L187" s="74">
        <v>0</v>
      </c>
      <c r="M187" s="76">
        <v>0</v>
      </c>
      <c r="N187" s="48">
        <v>0</v>
      </c>
      <c r="O187" s="100">
        <v>0</v>
      </c>
      <c r="P187" s="120"/>
      <c r="Q187" s="173"/>
      <c r="R187" s="166"/>
    </row>
    <row r="188" spans="1:18" ht="14.1" hidden="1" customHeight="1" outlineLevel="4" thickBot="1" x14ac:dyDescent="0.25">
      <c r="A188" s="47"/>
      <c r="B188" s="47"/>
      <c r="C188" s="47"/>
      <c r="D188" s="47"/>
      <c r="E188" s="47"/>
      <c r="F188" s="47" t="s">
        <v>172</v>
      </c>
      <c r="G188" s="47"/>
      <c r="H188" s="77">
        <v>0</v>
      </c>
      <c r="I188" s="77">
        <v>0</v>
      </c>
      <c r="J188" s="77">
        <v>0</v>
      </c>
      <c r="K188" s="78">
        <v>0</v>
      </c>
      <c r="L188" s="77">
        <v>0</v>
      </c>
      <c r="M188" s="79">
        <v>0</v>
      </c>
      <c r="N188" s="50">
        <v>0</v>
      </c>
      <c r="O188" s="100">
        <v>0</v>
      </c>
      <c r="P188" s="120"/>
      <c r="Q188" s="173"/>
      <c r="R188" s="166"/>
    </row>
    <row r="189" spans="1:18" ht="14.1" customHeight="1" outlineLevel="3" collapsed="1" x14ac:dyDescent="0.2">
      <c r="A189" s="47"/>
      <c r="B189" s="47"/>
      <c r="C189" s="47"/>
      <c r="D189" s="47"/>
      <c r="E189" s="47" t="s">
        <v>173</v>
      </c>
      <c r="F189" s="47"/>
      <c r="G189" s="47"/>
      <c r="H189" s="81">
        <f t="shared" ref="H189:M189" si="52">SUM(H184:H188)</f>
        <v>85695</v>
      </c>
      <c r="I189" s="81">
        <f t="shared" si="52"/>
        <v>92534</v>
      </c>
      <c r="J189" s="81">
        <f t="shared" si="52"/>
        <v>83941</v>
      </c>
      <c r="K189" s="81">
        <f t="shared" si="52"/>
        <v>106421.33333333333</v>
      </c>
      <c r="L189" s="81">
        <f t="shared" si="52"/>
        <v>89114.5</v>
      </c>
      <c r="M189" s="82">
        <f t="shared" si="52"/>
        <v>100800</v>
      </c>
      <c r="N189" s="51">
        <f>SUM(N185:N188)</f>
        <v>35700</v>
      </c>
      <c r="O189" s="100">
        <f>SUM(O185:O188)</f>
        <v>35700</v>
      </c>
      <c r="P189" s="120"/>
      <c r="Q189" s="173"/>
      <c r="R189" s="166"/>
    </row>
    <row r="190" spans="1:18" ht="14.1" customHeight="1" outlineLevel="3" x14ac:dyDescent="0.2">
      <c r="A190" s="47"/>
      <c r="B190" s="47"/>
      <c r="C190" s="47"/>
      <c r="D190" s="47"/>
      <c r="E190" s="47" t="s">
        <v>246</v>
      </c>
      <c r="F190" s="47"/>
      <c r="G190" s="47"/>
      <c r="H190" s="74">
        <v>24665</v>
      </c>
      <c r="I190" s="74">
        <v>24266</v>
      </c>
      <c r="J190" s="74">
        <v>21367</v>
      </c>
      <c r="K190" s="75">
        <f>+(J190/9)*12</f>
        <v>28489.333333333336</v>
      </c>
      <c r="L190" s="74">
        <f>(+H190+I190)/2</f>
        <v>24465.5</v>
      </c>
      <c r="M190" s="76">
        <f>ROUNDDOWN(K190,-2)</f>
        <v>28400</v>
      </c>
      <c r="N190" s="48">
        <f>+M190</f>
        <v>28400</v>
      </c>
      <c r="O190" s="100">
        <f>+N190</f>
        <v>28400</v>
      </c>
      <c r="P190" s="120">
        <v>40</v>
      </c>
      <c r="Q190" s="174" t="s">
        <v>296</v>
      </c>
      <c r="R190" s="166" t="s">
        <v>297</v>
      </c>
    </row>
    <row r="191" spans="1:18" ht="14.1" hidden="1" customHeight="1" outlineLevel="3" x14ac:dyDescent="0.2">
      <c r="A191" s="47"/>
      <c r="B191" s="47"/>
      <c r="C191" s="47"/>
      <c r="D191" s="47"/>
      <c r="E191" s="47" t="s">
        <v>174</v>
      </c>
      <c r="F191" s="47"/>
      <c r="G191" s="47"/>
      <c r="H191" s="74">
        <v>0</v>
      </c>
      <c r="I191" s="74">
        <v>0</v>
      </c>
      <c r="J191" s="74">
        <v>0</v>
      </c>
      <c r="K191" s="75">
        <f>+(J191/9)*12</f>
        <v>0</v>
      </c>
      <c r="L191" s="74">
        <f>(+H191+I191)/2</f>
        <v>0</v>
      </c>
      <c r="M191" s="76">
        <f>ROUNDUP(L191,-2)</f>
        <v>0</v>
      </c>
      <c r="N191" s="48">
        <v>0</v>
      </c>
      <c r="O191" s="100">
        <v>0</v>
      </c>
      <c r="P191" s="120"/>
      <c r="Q191" s="173"/>
      <c r="R191" s="166"/>
    </row>
    <row r="192" spans="1:18" ht="14.1" customHeight="1" outlineLevel="3" thickBot="1" x14ac:dyDescent="0.25">
      <c r="A192" s="47"/>
      <c r="B192" s="47"/>
      <c r="C192" s="47"/>
      <c r="D192" s="47"/>
      <c r="E192" s="47" t="s">
        <v>175</v>
      </c>
      <c r="F192" s="47"/>
      <c r="G192" s="47"/>
      <c r="H192" s="74">
        <v>0</v>
      </c>
      <c r="I192" s="74">
        <v>0</v>
      </c>
      <c r="J192" s="74">
        <v>0</v>
      </c>
      <c r="K192" s="75">
        <f>+(J192/9)*12</f>
        <v>0</v>
      </c>
      <c r="L192" s="74">
        <f>(+H192+I192)/2</f>
        <v>0</v>
      </c>
      <c r="M192" s="76">
        <v>0</v>
      </c>
      <c r="N192" s="48">
        <f>+M192</f>
        <v>0</v>
      </c>
      <c r="O192" s="100">
        <f>+N192</f>
        <v>0</v>
      </c>
      <c r="P192" s="120">
        <v>40</v>
      </c>
      <c r="Q192" s="173"/>
      <c r="R192" s="166"/>
    </row>
    <row r="193" spans="1:18" ht="14.1" hidden="1" customHeight="1" outlineLevel="3" x14ac:dyDescent="0.2">
      <c r="A193" s="47"/>
      <c r="B193" s="47"/>
      <c r="C193" s="47"/>
      <c r="D193" s="47"/>
      <c r="E193" s="47" t="s">
        <v>176</v>
      </c>
      <c r="F193" s="47"/>
      <c r="G193" s="47"/>
      <c r="H193" s="74">
        <v>0</v>
      </c>
      <c r="I193" s="74">
        <v>0</v>
      </c>
      <c r="J193" s="74">
        <v>0</v>
      </c>
      <c r="K193" s="75">
        <v>0</v>
      </c>
      <c r="L193" s="74">
        <v>0</v>
      </c>
      <c r="M193" s="76">
        <v>0</v>
      </c>
      <c r="N193" s="48">
        <v>0</v>
      </c>
      <c r="O193" s="100">
        <v>0</v>
      </c>
      <c r="P193" s="120"/>
      <c r="Q193" s="173"/>
      <c r="R193" s="166"/>
    </row>
    <row r="194" spans="1:18" ht="14.1" hidden="1" customHeight="1" outlineLevel="3" thickBot="1" x14ac:dyDescent="0.25">
      <c r="A194" s="47"/>
      <c r="B194" s="47"/>
      <c r="C194" s="47"/>
      <c r="D194" s="47"/>
      <c r="E194" s="47" t="s">
        <v>177</v>
      </c>
      <c r="F194" s="47"/>
      <c r="G194" s="47"/>
      <c r="H194" s="77">
        <v>0</v>
      </c>
      <c r="I194" s="77">
        <v>0</v>
      </c>
      <c r="J194" s="77">
        <v>0</v>
      </c>
      <c r="K194" s="78">
        <v>0</v>
      </c>
      <c r="L194" s="77">
        <v>0</v>
      </c>
      <c r="M194" s="79">
        <v>0</v>
      </c>
      <c r="N194" s="50">
        <v>0</v>
      </c>
      <c r="O194" s="100">
        <v>0</v>
      </c>
      <c r="P194" s="120"/>
      <c r="Q194" s="173"/>
      <c r="R194" s="166"/>
    </row>
    <row r="195" spans="1:18" ht="14.1" customHeight="1" outlineLevel="2" collapsed="1" thickBot="1" x14ac:dyDescent="0.25">
      <c r="A195" s="47"/>
      <c r="B195" s="47"/>
      <c r="C195" s="47"/>
      <c r="D195" s="47" t="s">
        <v>178</v>
      </c>
      <c r="E195" s="47"/>
      <c r="F195" s="47"/>
      <c r="G195" s="47"/>
      <c r="H195" s="84">
        <f t="shared" ref="H195:M195" si="53">+H194+H193+H192+H191+H190+H189+H178+H164+H163+H138+H132+H121</f>
        <v>2351687</v>
      </c>
      <c r="I195" s="84">
        <f t="shared" si="53"/>
        <v>1979849</v>
      </c>
      <c r="J195" s="84">
        <f t="shared" si="53"/>
        <v>1001611</v>
      </c>
      <c r="K195" s="84">
        <f t="shared" si="53"/>
        <v>1279570.9333333333</v>
      </c>
      <c r="L195" s="84">
        <f t="shared" si="53"/>
        <v>2163639</v>
      </c>
      <c r="M195" s="85">
        <f t="shared" si="53"/>
        <v>2343400</v>
      </c>
      <c r="N195" s="52" t="e">
        <f>+N194+N193+N192+N191+N190+N189+N184+N178+N164+N163+N138+N132+N121</f>
        <v>#REF!</v>
      </c>
      <c r="O195" s="100" t="e">
        <f>+O194+O193+O192+O191+O190+O189+O184+O178+O164+O163+O138+O132+O121</f>
        <v>#REF!</v>
      </c>
      <c r="P195" s="120"/>
      <c r="Q195" s="173"/>
      <c r="R195" s="166"/>
    </row>
    <row r="196" spans="1:18" ht="14.1" customHeight="1" outlineLevel="1" thickBot="1" x14ac:dyDescent="0.25">
      <c r="A196" s="47"/>
      <c r="B196" s="47" t="s">
        <v>179</v>
      </c>
      <c r="C196" s="47"/>
      <c r="D196" s="47"/>
      <c r="E196" s="47"/>
      <c r="F196" s="47"/>
      <c r="G196" s="47"/>
      <c r="H196" s="75">
        <f>+H89-H195</f>
        <v>272463</v>
      </c>
      <c r="I196" s="75">
        <f>+I89-I195</f>
        <v>-206412</v>
      </c>
      <c r="J196" s="75">
        <f t="shared" ref="J196:O196" si="54">+J89-J195</f>
        <v>58148</v>
      </c>
      <c r="K196" s="75">
        <f t="shared" si="54"/>
        <v>133427.06666666665</v>
      </c>
      <c r="L196" s="75">
        <f t="shared" si="54"/>
        <v>35154.5</v>
      </c>
      <c r="M196" s="76">
        <f t="shared" si="54"/>
        <v>0</v>
      </c>
      <c r="N196" s="48" t="e">
        <f t="shared" si="54"/>
        <v>#REF!</v>
      </c>
      <c r="O196" s="100" t="e">
        <f t="shared" si="54"/>
        <v>#REF!</v>
      </c>
      <c r="P196" s="120"/>
      <c r="Q196" s="173"/>
      <c r="R196" s="166"/>
    </row>
    <row r="197" spans="1:18" ht="14.1" hidden="1" customHeight="1" outlineLevel="2" x14ac:dyDescent="0.2">
      <c r="A197" s="47"/>
      <c r="B197" s="47" t="s">
        <v>180</v>
      </c>
      <c r="C197" s="47"/>
      <c r="D197" s="47"/>
      <c r="E197" s="47"/>
      <c r="F197" s="47"/>
      <c r="G197" s="47"/>
      <c r="H197" s="75"/>
      <c r="I197" s="75"/>
      <c r="J197" s="75"/>
      <c r="K197" s="75"/>
      <c r="L197" s="75"/>
      <c r="M197" s="76"/>
      <c r="N197" s="48"/>
      <c r="O197" s="100"/>
      <c r="P197" s="120"/>
      <c r="Q197" s="173"/>
      <c r="R197" s="166"/>
    </row>
    <row r="198" spans="1:18" ht="14.1" hidden="1" customHeight="1" outlineLevel="2" x14ac:dyDescent="0.2">
      <c r="A198" s="47"/>
      <c r="B198" s="47"/>
      <c r="C198" s="47" t="s">
        <v>181</v>
      </c>
      <c r="D198" s="47"/>
      <c r="E198" s="47"/>
      <c r="F198" s="47"/>
      <c r="G198" s="47"/>
      <c r="H198" s="75">
        <v>0</v>
      </c>
      <c r="I198" s="75">
        <v>0</v>
      </c>
      <c r="J198" s="75">
        <v>0</v>
      </c>
      <c r="K198" s="75">
        <v>0</v>
      </c>
      <c r="L198" s="75">
        <v>0</v>
      </c>
      <c r="M198" s="76">
        <v>0</v>
      </c>
      <c r="N198" s="48">
        <v>0</v>
      </c>
      <c r="O198" s="100">
        <v>0</v>
      </c>
      <c r="P198" s="120"/>
      <c r="Q198" s="173"/>
      <c r="R198" s="166"/>
    </row>
    <row r="199" spans="1:18" ht="14.1" hidden="1" customHeight="1" outlineLevel="3" x14ac:dyDescent="0.2">
      <c r="A199" s="47"/>
      <c r="B199" s="47"/>
      <c r="C199" s="47" t="s">
        <v>182</v>
      </c>
      <c r="D199" s="47"/>
      <c r="E199" s="47"/>
      <c r="F199" s="47"/>
      <c r="G199" s="47"/>
      <c r="H199" s="75"/>
      <c r="I199" s="75"/>
      <c r="J199" s="75"/>
      <c r="K199" s="75"/>
      <c r="L199" s="75"/>
      <c r="M199" s="76"/>
      <c r="N199" s="48"/>
      <c r="O199" s="100"/>
      <c r="P199" s="120"/>
      <c r="Q199" s="173"/>
      <c r="R199" s="166"/>
    </row>
    <row r="200" spans="1:18" ht="14.1" hidden="1" customHeight="1" outlineLevel="3" thickBot="1" x14ac:dyDescent="0.25">
      <c r="A200" s="47"/>
      <c r="B200" s="47"/>
      <c r="C200" s="47"/>
      <c r="D200" s="47" t="s">
        <v>183</v>
      </c>
      <c r="E200" s="47"/>
      <c r="F200" s="47"/>
      <c r="G200" s="47"/>
      <c r="H200" s="78">
        <v>0</v>
      </c>
      <c r="I200" s="78">
        <v>0</v>
      </c>
      <c r="J200" s="78">
        <v>0</v>
      </c>
      <c r="K200" s="78">
        <v>0</v>
      </c>
      <c r="L200" s="78">
        <v>0</v>
      </c>
      <c r="M200" s="79">
        <v>0</v>
      </c>
      <c r="N200" s="50">
        <v>0</v>
      </c>
      <c r="O200" s="100">
        <v>0</v>
      </c>
      <c r="P200" s="120"/>
      <c r="Q200" s="173"/>
      <c r="R200" s="166"/>
    </row>
    <row r="201" spans="1:18" ht="14.1" hidden="1" customHeight="1" outlineLevel="2" thickBot="1" x14ac:dyDescent="0.25">
      <c r="A201" s="47"/>
      <c r="B201" s="47"/>
      <c r="C201" s="47" t="s">
        <v>184</v>
      </c>
      <c r="D201" s="47"/>
      <c r="E201" s="47"/>
      <c r="F201" s="47"/>
      <c r="G201" s="47"/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5">
        <v>0</v>
      </c>
      <c r="N201" s="52">
        <v>0</v>
      </c>
      <c r="O201" s="100">
        <v>0</v>
      </c>
      <c r="P201" s="120"/>
      <c r="Q201" s="173"/>
      <c r="R201" s="166"/>
    </row>
    <row r="202" spans="1:18" ht="14.1" hidden="1" customHeight="1" outlineLevel="1" thickBot="1" x14ac:dyDescent="0.25">
      <c r="A202" s="47"/>
      <c r="B202" s="47" t="s">
        <v>185</v>
      </c>
      <c r="C202" s="47"/>
      <c r="D202" s="47"/>
      <c r="E202" s="47"/>
      <c r="F202" s="47"/>
      <c r="G202" s="47"/>
      <c r="H202" s="84">
        <v>0</v>
      </c>
      <c r="I202" s="84">
        <v>0</v>
      </c>
      <c r="J202" s="84">
        <v>0</v>
      </c>
      <c r="K202" s="84">
        <v>0</v>
      </c>
      <c r="L202" s="84">
        <v>0</v>
      </c>
      <c r="M202" s="85">
        <v>0</v>
      </c>
      <c r="N202" s="52">
        <v>0</v>
      </c>
      <c r="O202" s="100">
        <v>0</v>
      </c>
      <c r="P202" s="120"/>
      <c r="Q202" s="173"/>
      <c r="R202" s="166"/>
    </row>
    <row r="203" spans="1:18" s="57" customFormat="1" ht="14.1" customHeight="1" collapsed="1" thickBot="1" x14ac:dyDescent="0.25">
      <c r="A203" s="47" t="s">
        <v>186</v>
      </c>
      <c r="B203" s="47"/>
      <c r="C203" s="47"/>
      <c r="D203" s="47"/>
      <c r="E203" s="47"/>
      <c r="F203" s="47"/>
      <c r="G203" s="47"/>
      <c r="H203" s="87">
        <f>+H196</f>
        <v>272463</v>
      </c>
      <c r="I203" s="87">
        <f>+I196</f>
        <v>-206412</v>
      </c>
      <c r="J203" s="87">
        <f t="shared" ref="J203:O203" si="55">+J196</f>
        <v>58148</v>
      </c>
      <c r="K203" s="87">
        <f t="shared" si="55"/>
        <v>133427.06666666665</v>
      </c>
      <c r="L203" s="87">
        <f>+L196</f>
        <v>35154.5</v>
      </c>
      <c r="M203" s="88">
        <f t="shared" si="55"/>
        <v>0</v>
      </c>
      <c r="N203" s="55" t="e">
        <f t="shared" si="55"/>
        <v>#REF!</v>
      </c>
      <c r="O203" s="64" t="e">
        <f t="shared" si="55"/>
        <v>#REF!</v>
      </c>
      <c r="P203" s="121"/>
      <c r="Q203" s="176"/>
      <c r="R203" s="166"/>
    </row>
    <row r="204" spans="1:18" s="61" customFormat="1" ht="13.5" thickTop="1" x14ac:dyDescent="0.2">
      <c r="A204" s="58" t="s">
        <v>286</v>
      </c>
      <c r="B204" s="59"/>
      <c r="C204" s="59"/>
      <c r="D204" s="59"/>
      <c r="E204" s="59"/>
      <c r="F204" s="59"/>
      <c r="G204" s="59"/>
      <c r="H204" s="89">
        <f>1206+6754</f>
        <v>7960</v>
      </c>
      <c r="I204" s="89">
        <v>25425</v>
      </c>
      <c r="J204" s="89">
        <v>7306</v>
      </c>
      <c r="K204" s="90">
        <f>+J204</f>
        <v>7306</v>
      </c>
      <c r="L204" s="89">
        <f>(+H204+I204)/2</f>
        <v>16692.5</v>
      </c>
      <c r="M204" s="76">
        <f>ROUNDDOWN(K204,-2)</f>
        <v>7300</v>
      </c>
      <c r="N204" s="60">
        <v>105000</v>
      </c>
      <c r="O204" s="104">
        <f>+M204</f>
        <v>7300</v>
      </c>
      <c r="P204" s="120"/>
      <c r="Q204" s="174" t="s">
        <v>296</v>
      </c>
      <c r="R204" s="166" t="s">
        <v>297</v>
      </c>
    </row>
    <row r="205" spans="1:18" s="61" customFormat="1" x14ac:dyDescent="0.2">
      <c r="A205" s="58" t="s">
        <v>351</v>
      </c>
      <c r="B205" s="59"/>
      <c r="C205" s="59"/>
      <c r="D205" s="59"/>
      <c r="E205" s="59"/>
      <c r="F205" s="59"/>
      <c r="G205" s="59"/>
      <c r="H205" s="89">
        <v>122000</v>
      </c>
      <c r="I205" s="89">
        <v>5500</v>
      </c>
      <c r="J205" s="89">
        <v>27000</v>
      </c>
      <c r="K205" s="75">
        <f>+J205</f>
        <v>27000</v>
      </c>
      <c r="L205" s="74">
        <f>(+H205+I205)/2</f>
        <v>63750</v>
      </c>
      <c r="M205" s="91">
        <v>26434</v>
      </c>
      <c r="N205" s="60"/>
      <c r="O205" s="104"/>
      <c r="P205" s="120"/>
      <c r="Q205" s="173" t="str">
        <f>F241</f>
        <v>( u )</v>
      </c>
      <c r="R205" s="165" t="str">
        <f>G241</f>
        <v>Principal on mortgage payment schedule</v>
      </c>
    </row>
    <row r="206" spans="1:18" s="61" customFormat="1" x14ac:dyDescent="0.2">
      <c r="A206" s="58" t="s">
        <v>249</v>
      </c>
      <c r="B206" s="59"/>
      <c r="C206" s="59"/>
      <c r="D206" s="59"/>
      <c r="E206" s="59"/>
      <c r="F206" s="59"/>
      <c r="G206" s="59"/>
      <c r="H206" s="89">
        <v>33400</v>
      </c>
      <c r="I206" s="89">
        <v>68800</v>
      </c>
      <c r="J206" s="89">
        <v>72000</v>
      </c>
      <c r="K206" s="75">
        <f>+J206</f>
        <v>72000</v>
      </c>
      <c r="L206" s="89"/>
      <c r="M206" s="91">
        <v>48545.68</v>
      </c>
      <c r="N206" s="60"/>
      <c r="O206" s="104"/>
      <c r="P206" s="120"/>
      <c r="Q206" s="173" t="s">
        <v>341</v>
      </c>
      <c r="R206" s="166" t="s">
        <v>342</v>
      </c>
    </row>
    <row r="207" spans="1:18" s="61" customFormat="1" ht="13.5" thickBot="1" x14ac:dyDescent="0.25">
      <c r="A207" s="58" t="s">
        <v>262</v>
      </c>
      <c r="B207" s="59"/>
      <c r="C207" s="59"/>
      <c r="D207" s="59"/>
      <c r="E207" s="59"/>
      <c r="F207" s="59"/>
      <c r="G207" s="59"/>
      <c r="H207" s="89"/>
      <c r="I207" s="89">
        <v>49323</v>
      </c>
      <c r="J207" s="89">
        <v>0</v>
      </c>
      <c r="K207" s="75">
        <v>0</v>
      </c>
      <c r="L207" s="89"/>
      <c r="M207" s="91">
        <v>0</v>
      </c>
      <c r="N207" s="60"/>
      <c r="O207" s="104"/>
      <c r="P207" s="120"/>
      <c r="Q207" s="173"/>
      <c r="R207" s="166"/>
    </row>
    <row r="208" spans="1:18" s="57" customFormat="1" ht="14.1" customHeight="1" collapsed="1" thickBot="1" x14ac:dyDescent="0.25">
      <c r="A208" s="47" t="s">
        <v>219</v>
      </c>
      <c r="B208" s="47"/>
      <c r="C208" s="47"/>
      <c r="D208" s="47"/>
      <c r="E208" s="47"/>
      <c r="F208" s="47"/>
      <c r="G208" s="47"/>
      <c r="H208" s="87">
        <f>+H203-H53+H117+H132</f>
        <v>258078</v>
      </c>
      <c r="I208" s="87">
        <f>+I203-I53+I132</f>
        <v>-212173</v>
      </c>
      <c r="J208" s="87">
        <f>+J203-J53+J132</f>
        <v>20945</v>
      </c>
      <c r="K208" s="87">
        <f>+K203-K53+K132</f>
        <v>83823.066666666651</v>
      </c>
      <c r="L208" s="87">
        <f>+L203-L53+L132</f>
        <v>24494</v>
      </c>
      <c r="M208" s="88">
        <f>+M203-M53+M132</f>
        <v>-15000</v>
      </c>
      <c r="N208" s="55">
        <f>+N197</f>
        <v>0</v>
      </c>
      <c r="O208" s="64">
        <f>+O197</f>
        <v>0</v>
      </c>
      <c r="P208" s="121"/>
      <c r="Q208" s="176"/>
      <c r="R208" s="166"/>
    </row>
    <row r="209" spans="1:18" s="57" customFormat="1" ht="14.1" customHeight="1" collapsed="1" thickTop="1" thickBot="1" x14ac:dyDescent="0.25">
      <c r="A209" s="47" t="s">
        <v>247</v>
      </c>
      <c r="B209" s="47"/>
      <c r="C209" s="47"/>
      <c r="D209" s="47"/>
      <c r="E209" s="47"/>
      <c r="F209" s="47"/>
      <c r="G209" s="47"/>
      <c r="H209" s="87">
        <f>+H208-H204</f>
        <v>250118</v>
      </c>
      <c r="I209" s="87">
        <f>+I208-I204</f>
        <v>-237598</v>
      </c>
      <c r="J209" s="87">
        <f>+J208-J204</f>
        <v>13639</v>
      </c>
      <c r="K209" s="87">
        <f>+K208-K204</f>
        <v>76517.066666666651</v>
      </c>
      <c r="L209" s="87">
        <f>+L208-L204</f>
        <v>7801.5</v>
      </c>
      <c r="M209" s="88">
        <f>+M203-M204-M205+M206-M207</f>
        <v>14811.68</v>
      </c>
      <c r="N209" s="55">
        <f>+N198</f>
        <v>0</v>
      </c>
      <c r="O209" s="64">
        <f>+O198</f>
        <v>0</v>
      </c>
      <c r="P209" s="121"/>
      <c r="Q209" s="176"/>
      <c r="R209" s="166"/>
    </row>
    <row r="210" spans="1:18" s="57" customFormat="1" ht="5.0999999999999996" customHeight="1" thickTop="1" x14ac:dyDescent="0.2">
      <c r="A210" s="47"/>
      <c r="B210" s="47"/>
      <c r="C210" s="47"/>
      <c r="D210" s="47"/>
      <c r="E210" s="47"/>
      <c r="F210" s="47"/>
      <c r="G210" s="47"/>
      <c r="H210" s="92"/>
      <c r="I210" s="92"/>
      <c r="J210" s="92"/>
      <c r="K210" s="92"/>
      <c r="L210" s="92"/>
      <c r="M210" s="93"/>
      <c r="N210" s="64"/>
      <c r="O210" s="64"/>
      <c r="P210" s="56"/>
      <c r="Q210" s="176"/>
      <c r="R210" s="169"/>
    </row>
    <row r="211" spans="1:18" s="115" customFormat="1" ht="1.5" customHeight="1" thickBot="1" x14ac:dyDescent="0.25">
      <c r="A211" s="62"/>
      <c r="B211" s="62"/>
      <c r="C211" s="62"/>
      <c r="D211" s="62"/>
      <c r="E211" s="62"/>
      <c r="N211" s="113"/>
      <c r="O211" s="114"/>
      <c r="P211" s="49"/>
      <c r="Q211" s="173"/>
      <c r="R211" s="162"/>
    </row>
    <row r="212" spans="1:18" s="57" customFormat="1" ht="14.1" customHeight="1" collapsed="1" thickBot="1" x14ac:dyDescent="0.25">
      <c r="A212" s="47" t="s">
        <v>289</v>
      </c>
      <c r="B212" s="47"/>
      <c r="C212" s="47"/>
      <c r="D212" s="47"/>
      <c r="E212" s="47"/>
      <c r="F212" s="47"/>
      <c r="G212" s="47"/>
      <c r="H212" s="126">
        <v>9</v>
      </c>
      <c r="I212" s="126">
        <v>4</v>
      </c>
      <c r="J212" s="126" t="s">
        <v>290</v>
      </c>
      <c r="K212" s="126" t="s">
        <v>292</v>
      </c>
      <c r="L212" s="126">
        <f>(H212+I212)/2</f>
        <v>6.5</v>
      </c>
      <c r="M212" s="127">
        <v>4</v>
      </c>
      <c r="N212" s="55">
        <f>+N204</f>
        <v>105000</v>
      </c>
      <c r="O212" s="64">
        <f>+O204</f>
        <v>7300</v>
      </c>
      <c r="P212" s="121"/>
      <c r="Q212" s="176"/>
      <c r="R212" s="169"/>
    </row>
    <row r="213" spans="1:18" s="57" customFormat="1" ht="14.1" customHeight="1" collapsed="1" thickTop="1" thickBot="1" x14ac:dyDescent="0.25">
      <c r="A213" s="47" t="s">
        <v>244</v>
      </c>
      <c r="B213" s="47"/>
      <c r="C213" s="47"/>
      <c r="D213" s="47"/>
      <c r="E213" s="47"/>
      <c r="F213" s="47"/>
      <c r="G213" s="47"/>
      <c r="H213" s="126">
        <v>1</v>
      </c>
      <c r="I213" s="126">
        <v>2</v>
      </c>
      <c r="J213" s="126">
        <v>1</v>
      </c>
      <c r="K213" s="126">
        <v>1</v>
      </c>
      <c r="L213" s="126">
        <f>(H213+I213)/2</f>
        <v>1.5</v>
      </c>
      <c r="M213" s="127">
        <v>2</v>
      </c>
      <c r="N213" s="55">
        <f>+N204</f>
        <v>105000</v>
      </c>
      <c r="O213" s="64">
        <f>+O204</f>
        <v>7300</v>
      </c>
      <c r="P213" s="121"/>
      <c r="Q213" s="176"/>
      <c r="R213" s="169"/>
    </row>
    <row r="214" spans="1:18" s="57" customFormat="1" ht="14.1" customHeight="1" collapsed="1" thickTop="1" thickBot="1" x14ac:dyDescent="0.25">
      <c r="A214" s="47" t="s">
        <v>285</v>
      </c>
      <c r="B214" s="47"/>
      <c r="C214" s="47"/>
      <c r="D214" s="47"/>
      <c r="E214" s="47"/>
      <c r="F214" s="47"/>
      <c r="G214" s="47"/>
      <c r="H214" s="126">
        <v>4</v>
      </c>
      <c r="I214" s="126">
        <v>5</v>
      </c>
      <c r="J214" s="126" t="s">
        <v>291</v>
      </c>
      <c r="K214" s="126">
        <v>4</v>
      </c>
      <c r="L214" s="126">
        <f>(H214+I214)/2</f>
        <v>4.5</v>
      </c>
      <c r="M214" s="127">
        <v>5</v>
      </c>
      <c r="N214" s="55">
        <f>+N205</f>
        <v>0</v>
      </c>
      <c r="O214" s="64">
        <f>+O205</f>
        <v>0</v>
      </c>
      <c r="P214" s="121"/>
      <c r="Q214" s="176"/>
      <c r="R214" s="169"/>
    </row>
    <row r="215" spans="1:18" s="57" customFormat="1" ht="14.1" customHeight="1" collapsed="1" thickTop="1" thickBot="1" x14ac:dyDescent="0.25">
      <c r="A215" s="47" t="s">
        <v>252</v>
      </c>
      <c r="B215" s="47"/>
      <c r="C215" s="47"/>
      <c r="D215" s="47"/>
      <c r="E215" s="47"/>
      <c r="F215" s="47"/>
      <c r="G215" s="47"/>
      <c r="H215" s="159">
        <v>20406</v>
      </c>
      <c r="I215" s="159">
        <v>15008</v>
      </c>
      <c r="J215" s="159">
        <v>14432</v>
      </c>
      <c r="K215" s="159" t="s">
        <v>253</v>
      </c>
      <c r="L215" s="159">
        <f>(H215+I215)/2</f>
        <v>17707</v>
      </c>
      <c r="M215" s="160">
        <v>20000</v>
      </c>
      <c r="N215" s="55">
        <f>+N205</f>
        <v>0</v>
      </c>
      <c r="O215" s="64">
        <f>+O205</f>
        <v>0</v>
      </c>
      <c r="P215" s="121"/>
      <c r="Q215" s="176"/>
      <c r="R215" s="169"/>
    </row>
    <row r="216" spans="1:18" s="57" customFormat="1" ht="4.5" customHeight="1" thickTop="1" x14ac:dyDescent="0.2">
      <c r="A216" s="47"/>
      <c r="B216" s="47"/>
      <c r="C216" s="47"/>
      <c r="D216" s="47"/>
      <c r="E216" s="47"/>
      <c r="F216" s="47"/>
      <c r="G216" s="47"/>
      <c r="H216" s="159"/>
      <c r="I216" s="159"/>
      <c r="J216" s="159"/>
      <c r="K216" s="159"/>
      <c r="L216" s="159"/>
      <c r="M216" s="160"/>
      <c r="N216" s="64"/>
      <c r="O216" s="64"/>
      <c r="P216" s="121"/>
      <c r="Q216" s="176"/>
      <c r="R216" s="169"/>
    </row>
    <row r="217" spans="1:18" s="144" customFormat="1" ht="9.9499999999999993" customHeight="1" x14ac:dyDescent="0.15">
      <c r="A217" s="66"/>
      <c r="B217" s="66"/>
      <c r="C217" s="66"/>
      <c r="D217" s="66"/>
      <c r="E217" s="66"/>
      <c r="F217" s="144" t="s">
        <v>251</v>
      </c>
      <c r="G217" s="144" t="s">
        <v>304</v>
      </c>
      <c r="N217" s="145"/>
      <c r="O217" s="146"/>
      <c r="P217" s="147"/>
      <c r="Q217" s="177"/>
      <c r="R217" s="170"/>
    </row>
    <row r="218" spans="1:18" s="144" customFormat="1" ht="9.9499999999999993" customHeight="1" x14ac:dyDescent="0.15">
      <c r="A218" s="66"/>
      <c r="B218" s="66"/>
      <c r="C218" s="66"/>
      <c r="D218" s="66"/>
      <c r="E218" s="66"/>
      <c r="F218" s="144" t="s">
        <v>281</v>
      </c>
      <c r="G218" s="144" t="s">
        <v>282</v>
      </c>
      <c r="N218" s="145"/>
      <c r="O218" s="146"/>
      <c r="P218" s="147"/>
      <c r="Q218" s="177"/>
      <c r="R218" s="170"/>
    </row>
    <row r="219" spans="1:18" s="144" customFormat="1" ht="9.9499999999999993" customHeight="1" x14ac:dyDescent="0.15">
      <c r="A219" s="66"/>
      <c r="B219" s="66"/>
      <c r="C219" s="66"/>
      <c r="D219" s="66"/>
      <c r="E219" s="66"/>
      <c r="F219" s="144" t="s">
        <v>287</v>
      </c>
      <c r="G219" s="144" t="s">
        <v>288</v>
      </c>
      <c r="N219" s="145"/>
      <c r="O219" s="146"/>
      <c r="P219" s="147"/>
      <c r="Q219" s="177"/>
      <c r="R219" s="170"/>
    </row>
    <row r="220" spans="1:18" s="116" customFormat="1" ht="3.6" customHeight="1" x14ac:dyDescent="0.2">
      <c r="A220" s="66"/>
      <c r="B220" s="66"/>
      <c r="C220" s="66"/>
      <c r="D220" s="66"/>
      <c r="E220" s="66"/>
      <c r="F220" s="178"/>
      <c r="G220" s="147"/>
      <c r="H220" s="117"/>
      <c r="I220" s="117"/>
      <c r="J220" s="117"/>
      <c r="K220" s="117"/>
      <c r="L220" s="117"/>
      <c r="M220" s="130"/>
      <c r="N220" s="128"/>
      <c r="O220" s="129"/>
      <c r="P220" s="49"/>
      <c r="Q220" s="173"/>
      <c r="R220" s="162"/>
    </row>
    <row r="221" spans="1:18" s="116" customFormat="1" ht="9.9499999999999993" customHeight="1" x14ac:dyDescent="0.2">
      <c r="A221" s="66"/>
      <c r="B221" s="66"/>
      <c r="C221" s="66"/>
      <c r="D221" s="66"/>
      <c r="E221" s="66"/>
      <c r="F221" s="178" t="s">
        <v>293</v>
      </c>
      <c r="G221" s="147" t="s">
        <v>302</v>
      </c>
      <c r="H221" s="117"/>
      <c r="I221" s="117"/>
      <c r="J221" s="117"/>
      <c r="K221" s="117"/>
      <c r="L221" s="117"/>
      <c r="M221" s="130"/>
      <c r="N221" s="128"/>
      <c r="O221" s="129"/>
      <c r="P221" s="49"/>
      <c r="Q221" s="173"/>
      <c r="R221" s="162"/>
    </row>
    <row r="222" spans="1:18" s="116" customFormat="1" ht="9.9499999999999993" customHeight="1" x14ac:dyDescent="0.2">
      <c r="A222" s="66"/>
      <c r="B222" s="66"/>
      <c r="C222" s="66"/>
      <c r="D222" s="66"/>
      <c r="E222" s="66"/>
      <c r="F222" s="178" t="s">
        <v>294</v>
      </c>
      <c r="G222" s="147" t="s">
        <v>314</v>
      </c>
      <c r="H222" s="117"/>
      <c r="I222" s="117"/>
      <c r="J222" s="117"/>
      <c r="K222" s="117"/>
      <c r="L222" s="117"/>
      <c r="M222" s="130"/>
      <c r="N222" s="128"/>
      <c r="O222" s="129"/>
      <c r="P222" s="49"/>
      <c r="Q222" s="173"/>
      <c r="R222" s="162"/>
    </row>
    <row r="223" spans="1:18" s="116" customFormat="1" ht="9.9499999999999993" customHeight="1" x14ac:dyDescent="0.2">
      <c r="A223" s="66"/>
      <c r="B223" s="66"/>
      <c r="C223" s="66"/>
      <c r="D223" s="66"/>
      <c r="E223" s="66"/>
      <c r="F223" s="178" t="s">
        <v>296</v>
      </c>
      <c r="G223" s="147" t="s">
        <v>297</v>
      </c>
      <c r="H223" s="117"/>
      <c r="I223" s="117"/>
      <c r="J223" s="117"/>
      <c r="K223" s="117"/>
      <c r="L223" s="117"/>
      <c r="M223" s="130"/>
      <c r="N223" s="128"/>
      <c r="O223" s="129"/>
      <c r="P223" s="49"/>
      <c r="Q223" s="173"/>
      <c r="R223" s="162"/>
    </row>
    <row r="224" spans="1:18" s="116" customFormat="1" ht="9.9499999999999993" customHeight="1" x14ac:dyDescent="0.2">
      <c r="A224" s="66"/>
      <c r="B224" s="66"/>
      <c r="C224" s="66"/>
      <c r="D224" s="66"/>
      <c r="E224" s="66"/>
      <c r="F224" s="178" t="s">
        <v>298</v>
      </c>
      <c r="G224" s="147" t="s">
        <v>299</v>
      </c>
      <c r="H224" s="117"/>
      <c r="I224" s="117"/>
      <c r="J224" s="117"/>
      <c r="K224" s="117"/>
      <c r="L224" s="117"/>
      <c r="M224" s="130"/>
      <c r="N224" s="128"/>
      <c r="O224" s="129"/>
      <c r="P224" s="49"/>
      <c r="Q224" s="173"/>
      <c r="R224" s="162"/>
    </row>
    <row r="225" spans="1:18" s="116" customFormat="1" ht="9.9499999999999993" customHeight="1" x14ac:dyDescent="0.2">
      <c r="A225" s="66"/>
      <c r="B225" s="66"/>
      <c r="C225" s="66"/>
      <c r="D225" s="66"/>
      <c r="E225" s="66"/>
      <c r="F225" s="178" t="s">
        <v>300</v>
      </c>
      <c r="G225" s="147" t="s">
        <v>303</v>
      </c>
      <c r="H225" s="117"/>
      <c r="I225" s="117"/>
      <c r="J225" s="117"/>
      <c r="K225" s="117"/>
      <c r="L225" s="117"/>
      <c r="M225" s="130"/>
      <c r="N225" s="128"/>
      <c r="O225" s="129"/>
      <c r="P225" s="49"/>
      <c r="Q225" s="173"/>
      <c r="R225" s="162"/>
    </row>
    <row r="226" spans="1:18" s="116" customFormat="1" ht="9.9499999999999993" customHeight="1" x14ac:dyDescent="0.2">
      <c r="A226" s="66"/>
      <c r="B226" s="66"/>
      <c r="C226" s="66"/>
      <c r="D226" s="66"/>
      <c r="E226" s="66"/>
      <c r="F226" s="178" t="s">
        <v>305</v>
      </c>
      <c r="G226" s="147" t="s">
        <v>307</v>
      </c>
      <c r="H226" s="117"/>
      <c r="I226" s="117"/>
      <c r="J226" s="117"/>
      <c r="K226" s="117"/>
      <c r="L226" s="117"/>
      <c r="M226" s="130"/>
      <c r="N226" s="128"/>
      <c r="O226" s="129"/>
      <c r="P226" s="49"/>
      <c r="Q226" s="173"/>
      <c r="R226" s="162"/>
    </row>
    <row r="227" spans="1:18" s="116" customFormat="1" ht="9.9499999999999993" customHeight="1" x14ac:dyDescent="0.2">
      <c r="A227" s="66"/>
      <c r="B227" s="66"/>
      <c r="C227" s="66"/>
      <c r="D227" s="66"/>
      <c r="E227" s="66"/>
      <c r="F227" s="178" t="s">
        <v>312</v>
      </c>
      <c r="G227" s="147" t="s">
        <v>333</v>
      </c>
      <c r="H227" s="117"/>
      <c r="I227" s="117"/>
      <c r="J227" s="117"/>
      <c r="K227" s="117"/>
      <c r="L227" s="117"/>
      <c r="M227" s="130"/>
      <c r="N227" s="128"/>
      <c r="O227" s="129"/>
      <c r="P227" s="49"/>
      <c r="Q227" s="173"/>
      <c r="R227" s="162"/>
    </row>
    <row r="228" spans="1:18" s="116" customFormat="1" ht="9.9499999999999993" customHeight="1" x14ac:dyDescent="0.2">
      <c r="A228" s="66"/>
      <c r="B228" s="66"/>
      <c r="C228" s="66"/>
      <c r="D228" s="66"/>
      <c r="E228" s="66"/>
      <c r="F228" s="178" t="s">
        <v>315</v>
      </c>
      <c r="G228" s="147" t="s">
        <v>313</v>
      </c>
      <c r="H228" s="117"/>
      <c r="I228" s="117"/>
      <c r="J228" s="117"/>
      <c r="K228" s="117"/>
      <c r="L228" s="117"/>
      <c r="M228" s="130"/>
      <c r="N228" s="128"/>
      <c r="O228" s="129"/>
      <c r="P228" s="49"/>
      <c r="Q228" s="173"/>
      <c r="R228" s="162"/>
    </row>
    <row r="229" spans="1:18" s="116" customFormat="1" ht="9.9499999999999993" customHeight="1" x14ac:dyDescent="0.2">
      <c r="A229" s="66"/>
      <c r="B229" s="66"/>
      <c r="C229" s="66"/>
      <c r="D229" s="66"/>
      <c r="E229" s="66"/>
      <c r="F229" s="178" t="s">
        <v>317</v>
      </c>
      <c r="G229" s="147" t="s">
        <v>316</v>
      </c>
      <c r="H229" s="117"/>
      <c r="I229" s="117"/>
      <c r="J229" s="117"/>
      <c r="K229" s="117"/>
      <c r="L229" s="117"/>
      <c r="M229" s="130"/>
      <c r="N229" s="128"/>
      <c r="O229" s="129"/>
      <c r="P229" s="49"/>
      <c r="Q229" s="173"/>
      <c r="R229" s="162"/>
    </row>
    <row r="230" spans="1:18" s="116" customFormat="1" ht="9.9499999999999993" customHeight="1" x14ac:dyDescent="0.2">
      <c r="A230" s="66"/>
      <c r="B230" s="66"/>
      <c r="C230" s="66"/>
      <c r="D230" s="66"/>
      <c r="E230" s="66"/>
      <c r="F230" s="178" t="s">
        <v>319</v>
      </c>
      <c r="G230" s="147" t="s">
        <v>318</v>
      </c>
      <c r="H230" s="117"/>
      <c r="I230" s="117"/>
      <c r="J230" s="117"/>
      <c r="K230" s="117"/>
      <c r="L230" s="117"/>
      <c r="M230" s="130"/>
      <c r="N230" s="128"/>
      <c r="O230" s="129"/>
      <c r="P230" s="49"/>
      <c r="Q230" s="173"/>
      <c r="R230" s="162"/>
    </row>
    <row r="231" spans="1:18" s="116" customFormat="1" ht="9.9499999999999993" customHeight="1" x14ac:dyDescent="0.2">
      <c r="A231" s="66"/>
      <c r="B231" s="66"/>
      <c r="C231" s="66"/>
      <c r="D231" s="66"/>
      <c r="E231" s="66"/>
      <c r="F231" s="178" t="s">
        <v>321</v>
      </c>
      <c r="G231" s="147" t="s">
        <v>320</v>
      </c>
      <c r="H231" s="117"/>
      <c r="I231" s="117"/>
      <c r="J231" s="117"/>
      <c r="K231" s="117"/>
      <c r="L231" s="117"/>
      <c r="M231" s="130"/>
      <c r="N231" s="128"/>
      <c r="O231" s="129"/>
      <c r="P231" s="49"/>
      <c r="Q231" s="173"/>
      <c r="R231" s="162"/>
    </row>
    <row r="232" spans="1:18" s="116" customFormat="1" ht="9.9499999999999993" customHeight="1" x14ac:dyDescent="0.2">
      <c r="A232" s="66"/>
      <c r="B232" s="66"/>
      <c r="C232" s="66"/>
      <c r="D232" s="66"/>
      <c r="E232" s="66"/>
      <c r="F232" s="178" t="s">
        <v>324</v>
      </c>
      <c r="G232" s="147" t="s">
        <v>322</v>
      </c>
      <c r="H232" s="117"/>
      <c r="I232" s="117"/>
      <c r="J232" s="117"/>
      <c r="K232" s="117"/>
      <c r="L232" s="117"/>
      <c r="M232" s="130"/>
      <c r="N232" s="128"/>
      <c r="O232" s="129"/>
      <c r="P232" s="49"/>
      <c r="Q232" s="173"/>
      <c r="R232" s="162"/>
    </row>
    <row r="233" spans="1:18" s="116" customFormat="1" ht="9.9499999999999993" customHeight="1" x14ac:dyDescent="0.2">
      <c r="A233" s="66"/>
      <c r="B233" s="66"/>
      <c r="C233" s="66"/>
      <c r="D233" s="66"/>
      <c r="E233" s="66"/>
      <c r="F233" s="178" t="s">
        <v>326</v>
      </c>
      <c r="G233" s="147" t="s">
        <v>325</v>
      </c>
      <c r="H233" s="117"/>
      <c r="I233" s="117"/>
      <c r="J233" s="117"/>
      <c r="K233" s="117"/>
      <c r="L233" s="117"/>
      <c r="M233" s="130"/>
      <c r="N233" s="128"/>
      <c r="O233" s="129"/>
      <c r="P233" s="49"/>
      <c r="Q233" s="173"/>
      <c r="R233" s="162"/>
    </row>
    <row r="234" spans="1:18" s="116" customFormat="1" ht="9.9499999999999993" customHeight="1" x14ac:dyDescent="0.2">
      <c r="A234" s="66"/>
      <c r="B234" s="66"/>
      <c r="C234" s="66"/>
      <c r="D234" s="66"/>
      <c r="E234" s="66"/>
      <c r="F234" s="178" t="s">
        <v>328</v>
      </c>
      <c r="G234" s="147" t="s">
        <v>327</v>
      </c>
      <c r="H234" s="117"/>
      <c r="I234" s="117"/>
      <c r="J234" s="117"/>
      <c r="K234" s="117"/>
      <c r="L234" s="117"/>
      <c r="M234" s="130"/>
      <c r="N234" s="128"/>
      <c r="O234" s="129"/>
      <c r="P234" s="49"/>
      <c r="Q234" s="173"/>
      <c r="R234" s="162"/>
    </row>
    <row r="235" spans="1:18" s="116" customFormat="1" ht="9.9499999999999993" customHeight="1" x14ac:dyDescent="0.2">
      <c r="A235" s="66"/>
      <c r="B235" s="66"/>
      <c r="C235" s="66"/>
      <c r="D235" s="66"/>
      <c r="E235" s="66"/>
      <c r="F235" s="178" t="s">
        <v>329</v>
      </c>
      <c r="G235" s="147" t="s">
        <v>354</v>
      </c>
      <c r="H235" s="117"/>
      <c r="I235" s="117"/>
      <c r="J235" s="117"/>
      <c r="K235" s="117"/>
      <c r="L235" s="117"/>
      <c r="M235" s="130"/>
      <c r="N235" s="128"/>
      <c r="O235" s="129"/>
      <c r="P235" s="49"/>
      <c r="Q235" s="173"/>
      <c r="R235" s="162"/>
    </row>
    <row r="236" spans="1:18" s="116" customFormat="1" ht="9.9499999999999993" customHeight="1" x14ac:dyDescent="0.2">
      <c r="A236" s="66"/>
      <c r="B236" s="66"/>
      <c r="C236" s="66"/>
      <c r="D236" s="66"/>
      <c r="E236" s="66"/>
      <c r="F236" s="178" t="s">
        <v>330</v>
      </c>
      <c r="G236" s="147" t="s">
        <v>343</v>
      </c>
      <c r="H236" s="117"/>
      <c r="I236" s="117"/>
      <c r="J236" s="117"/>
      <c r="K236" s="117"/>
      <c r="L236" s="117"/>
      <c r="M236" s="130"/>
      <c r="N236" s="128"/>
      <c r="O236" s="129"/>
      <c r="P236" s="49"/>
      <c r="Q236" s="173"/>
      <c r="R236" s="162"/>
    </row>
    <row r="237" spans="1:18" s="116" customFormat="1" ht="9.9499999999999993" customHeight="1" x14ac:dyDescent="0.2">
      <c r="A237" s="66"/>
      <c r="B237" s="66"/>
      <c r="C237" s="66"/>
      <c r="D237" s="66"/>
      <c r="E237" s="66"/>
      <c r="F237" s="178" t="s">
        <v>332</v>
      </c>
      <c r="G237" s="147" t="s">
        <v>331</v>
      </c>
      <c r="H237" s="117"/>
      <c r="I237" s="117"/>
      <c r="J237" s="117"/>
      <c r="K237" s="117"/>
      <c r="L237" s="117"/>
      <c r="M237" s="130"/>
      <c r="N237" s="128"/>
      <c r="O237" s="129"/>
      <c r="P237" s="49"/>
      <c r="Q237" s="173"/>
      <c r="R237" s="162"/>
    </row>
    <row r="238" spans="1:18" s="116" customFormat="1" ht="9.9499999999999993" customHeight="1" x14ac:dyDescent="0.2">
      <c r="A238" s="66"/>
      <c r="B238" s="66"/>
      <c r="C238" s="66"/>
      <c r="D238" s="66"/>
      <c r="E238" s="66"/>
      <c r="F238" s="178" t="s">
        <v>334</v>
      </c>
      <c r="G238" s="147" t="s">
        <v>338</v>
      </c>
      <c r="H238" s="117"/>
      <c r="I238" s="117"/>
      <c r="J238" s="117"/>
      <c r="K238" s="117"/>
      <c r="L238" s="117"/>
      <c r="M238" s="130"/>
      <c r="N238" s="128"/>
      <c r="O238" s="129"/>
      <c r="P238" s="49"/>
      <c r="Q238" s="173"/>
      <c r="R238" s="162"/>
    </row>
    <row r="239" spans="1:18" s="116" customFormat="1" ht="9.9499999999999993" customHeight="1" x14ac:dyDescent="0.2">
      <c r="A239" s="66"/>
      <c r="B239" s="66"/>
      <c r="C239" s="66"/>
      <c r="D239" s="66"/>
      <c r="E239" s="66"/>
      <c r="F239" s="178" t="s">
        <v>339</v>
      </c>
      <c r="G239" s="147" t="s">
        <v>340</v>
      </c>
      <c r="H239" s="117"/>
      <c r="I239" s="117"/>
      <c r="J239" s="117"/>
      <c r="K239" s="117"/>
      <c r="L239" s="117"/>
      <c r="M239" s="130"/>
      <c r="N239" s="128"/>
      <c r="O239" s="129"/>
      <c r="P239" s="49"/>
      <c r="Q239" s="173"/>
      <c r="R239" s="162"/>
    </row>
    <row r="240" spans="1:18" s="116" customFormat="1" ht="9.9499999999999993" customHeight="1" x14ac:dyDescent="0.2">
      <c r="A240" s="66"/>
      <c r="B240" s="66"/>
      <c r="C240" s="66"/>
      <c r="D240" s="66"/>
      <c r="E240" s="66"/>
      <c r="F240" s="178" t="s">
        <v>341</v>
      </c>
      <c r="G240" s="147" t="s">
        <v>342</v>
      </c>
      <c r="H240" s="117"/>
      <c r="I240" s="117"/>
      <c r="J240" s="117"/>
      <c r="K240" s="117"/>
      <c r="L240" s="117"/>
      <c r="M240" s="130"/>
      <c r="N240" s="128"/>
      <c r="O240" s="129"/>
      <c r="P240" s="49"/>
      <c r="Q240" s="173"/>
      <c r="R240" s="162"/>
    </row>
    <row r="241" spans="1:18" s="116" customFormat="1" ht="9.9499999999999993" customHeight="1" x14ac:dyDescent="0.2">
      <c r="A241" s="66"/>
      <c r="B241" s="66"/>
      <c r="C241" s="66"/>
      <c r="D241" s="66"/>
      <c r="E241" s="66"/>
      <c r="F241" s="178" t="s">
        <v>346</v>
      </c>
      <c r="G241" s="147" t="s">
        <v>347</v>
      </c>
      <c r="H241" s="117"/>
      <c r="I241" s="117"/>
      <c r="J241" s="117"/>
      <c r="K241" s="117"/>
      <c r="L241" s="117"/>
      <c r="M241" s="130"/>
      <c r="N241" s="128"/>
      <c r="O241" s="129"/>
      <c r="P241" s="49"/>
      <c r="Q241" s="173"/>
      <c r="R241" s="162"/>
    </row>
    <row r="242" spans="1:18" s="116" customFormat="1" ht="9.9499999999999993" customHeight="1" x14ac:dyDescent="0.2">
      <c r="A242" s="66"/>
      <c r="B242" s="66"/>
      <c r="C242" s="66"/>
      <c r="D242" s="66"/>
      <c r="E242" s="66"/>
      <c r="F242" s="178" t="s">
        <v>349</v>
      </c>
      <c r="G242" s="147" t="s">
        <v>350</v>
      </c>
      <c r="H242" s="117"/>
      <c r="I242" s="117"/>
      <c r="J242" s="117"/>
      <c r="K242" s="117"/>
      <c r="L242" s="117"/>
      <c r="M242" s="130"/>
      <c r="N242" s="128"/>
      <c r="O242" s="129"/>
      <c r="P242" s="49"/>
      <c r="Q242" s="173"/>
      <c r="R242" s="162"/>
    </row>
    <row r="243" spans="1:18" s="116" customFormat="1" ht="9.9499999999999993" customHeight="1" x14ac:dyDescent="0.2">
      <c r="A243" s="66"/>
      <c r="B243" s="66"/>
      <c r="C243" s="66"/>
      <c r="D243" s="66"/>
      <c r="E243" s="66"/>
      <c r="F243" s="178"/>
      <c r="G243" s="147"/>
      <c r="H243" s="117"/>
      <c r="I243" s="117"/>
      <c r="J243" s="117"/>
      <c r="K243" s="117"/>
      <c r="L243" s="117"/>
      <c r="M243" s="130"/>
      <c r="N243" s="128"/>
      <c r="O243" s="129"/>
      <c r="P243" s="49"/>
      <c r="Q243" s="173"/>
      <c r="R243" s="162"/>
    </row>
    <row r="244" spans="1:18" s="116" customFormat="1" ht="9.9499999999999993" customHeight="1" x14ac:dyDescent="0.2">
      <c r="A244" s="66"/>
      <c r="B244" s="66"/>
      <c r="C244" s="66"/>
      <c r="D244" s="66"/>
      <c r="E244" s="66"/>
      <c r="F244" s="178"/>
      <c r="G244" s="147"/>
      <c r="H244" s="117"/>
      <c r="I244" s="117"/>
      <c r="J244" s="117"/>
      <c r="K244" s="117"/>
      <c r="L244" s="117"/>
      <c r="M244" s="130"/>
      <c r="N244" s="128"/>
      <c r="O244" s="129"/>
      <c r="P244" s="49"/>
      <c r="Q244" s="173"/>
      <c r="R244" s="162"/>
    </row>
    <row r="245" spans="1:18" s="116" customFormat="1" ht="9.9499999999999993" customHeight="1" x14ac:dyDescent="0.2">
      <c r="A245" s="66"/>
      <c r="B245" s="66"/>
      <c r="C245" s="66"/>
      <c r="D245" s="66"/>
      <c r="E245" s="66"/>
      <c r="F245" s="178"/>
      <c r="G245" s="147"/>
      <c r="H245" s="117"/>
      <c r="I245" s="117"/>
      <c r="J245" s="117"/>
      <c r="K245" s="117"/>
      <c r="L245" s="117"/>
      <c r="M245" s="130"/>
      <c r="N245" s="128"/>
      <c r="O245" s="129"/>
      <c r="P245" s="49"/>
      <c r="Q245" s="173"/>
      <c r="R245" s="162"/>
    </row>
    <row r="246" spans="1:18" s="116" customFormat="1" ht="9.9499999999999993" customHeight="1" x14ac:dyDescent="0.2">
      <c r="A246" s="66"/>
      <c r="B246" s="66"/>
      <c r="C246" s="66"/>
      <c r="D246" s="66"/>
      <c r="E246" s="66"/>
      <c r="F246" s="178"/>
      <c r="G246" s="147"/>
      <c r="H246" s="117"/>
      <c r="I246" s="117"/>
      <c r="J246" s="117"/>
      <c r="K246" s="117"/>
      <c r="L246" s="117"/>
      <c r="M246" s="130"/>
      <c r="N246" s="128"/>
      <c r="O246" s="129"/>
      <c r="P246" s="49"/>
      <c r="Q246" s="173"/>
      <c r="R246" s="162"/>
    </row>
    <row r="247" spans="1:18" s="116" customFormat="1" ht="9.9499999999999993" customHeight="1" x14ac:dyDescent="0.2">
      <c r="A247" s="66"/>
      <c r="B247" s="66"/>
      <c r="C247" s="66"/>
      <c r="D247" s="66"/>
      <c r="E247" s="66"/>
      <c r="F247" s="178"/>
      <c r="G247" s="147"/>
      <c r="H247" s="117"/>
      <c r="I247" s="117"/>
      <c r="J247" s="117"/>
      <c r="K247" s="117"/>
      <c r="L247" s="117"/>
      <c r="M247" s="130"/>
      <c r="N247" s="128"/>
      <c r="O247" s="129"/>
      <c r="P247" s="49"/>
      <c r="Q247" s="173"/>
      <c r="R247" s="162"/>
    </row>
    <row r="248" spans="1:18" s="116" customFormat="1" ht="9.9499999999999993" customHeight="1" x14ac:dyDescent="0.2">
      <c r="A248" s="66"/>
      <c r="B248" s="66"/>
      <c r="C248" s="66"/>
      <c r="D248" s="66"/>
      <c r="E248" s="66"/>
      <c r="F248" s="178"/>
      <c r="G248" s="147"/>
      <c r="H248" s="117"/>
      <c r="I248" s="117"/>
      <c r="J248" s="117"/>
      <c r="K248" s="117"/>
      <c r="L248" s="117"/>
      <c r="M248" s="130"/>
      <c r="N248" s="128"/>
      <c r="O248" s="129"/>
      <c r="P248" s="49"/>
      <c r="Q248" s="173"/>
      <c r="R248" s="162"/>
    </row>
    <row r="249" spans="1:18" s="116" customFormat="1" ht="9.9499999999999993" customHeight="1" x14ac:dyDescent="0.2">
      <c r="A249" s="66"/>
      <c r="B249" s="66"/>
      <c r="C249" s="66"/>
      <c r="D249" s="66"/>
      <c r="E249" s="66"/>
      <c r="F249" s="178"/>
      <c r="G249" s="147"/>
      <c r="H249" s="117"/>
      <c r="I249" s="117"/>
      <c r="J249" s="117"/>
      <c r="K249" s="117"/>
      <c r="L249" s="117"/>
      <c r="M249" s="130"/>
      <c r="N249" s="128"/>
      <c r="O249" s="129"/>
      <c r="P249" s="49"/>
      <c r="Q249" s="173"/>
      <c r="R249" s="162"/>
    </row>
    <row r="250" spans="1:18" s="116" customFormat="1" ht="9.9499999999999993" customHeight="1" x14ac:dyDescent="0.2">
      <c r="A250" s="66"/>
      <c r="B250" s="66"/>
      <c r="C250" s="66"/>
      <c r="D250" s="66"/>
      <c r="E250" s="66"/>
      <c r="F250" s="178"/>
      <c r="G250" s="147"/>
      <c r="H250" s="117"/>
      <c r="I250" s="117"/>
      <c r="J250" s="117"/>
      <c r="K250" s="117"/>
      <c r="L250" s="117"/>
      <c r="M250" s="130"/>
      <c r="N250" s="128"/>
      <c r="O250" s="129"/>
      <c r="P250" s="49"/>
      <c r="Q250" s="173"/>
      <c r="R250" s="162"/>
    </row>
    <row r="251" spans="1:18" s="116" customFormat="1" ht="9.9499999999999993" customHeight="1" x14ac:dyDescent="0.2">
      <c r="A251" s="66"/>
      <c r="B251" s="66"/>
      <c r="C251" s="66"/>
      <c r="D251" s="66"/>
      <c r="E251" s="66"/>
      <c r="F251" s="178"/>
      <c r="G251" s="147"/>
      <c r="H251" s="117"/>
      <c r="I251" s="117"/>
      <c r="J251" s="117"/>
      <c r="K251" s="117"/>
      <c r="L251" s="117"/>
      <c r="M251" s="130"/>
      <c r="N251" s="128"/>
      <c r="O251" s="129"/>
      <c r="P251" s="49"/>
      <c r="Q251" s="173"/>
      <c r="R251" s="162"/>
    </row>
    <row r="252" spans="1:18" s="116" customFormat="1" ht="9.9499999999999993" customHeight="1" x14ac:dyDescent="0.2">
      <c r="A252" s="66"/>
      <c r="B252" s="66"/>
      <c r="C252" s="66"/>
      <c r="D252" s="66"/>
      <c r="E252" s="66"/>
      <c r="F252" s="178"/>
      <c r="G252" s="147"/>
      <c r="H252" s="117"/>
      <c r="I252" s="117"/>
      <c r="J252" s="117"/>
      <c r="K252" s="117"/>
      <c r="L252" s="117"/>
      <c r="M252" s="130"/>
      <c r="N252" s="128"/>
      <c r="O252" s="129"/>
      <c r="P252" s="49"/>
      <c r="Q252" s="173"/>
      <c r="R252" s="162"/>
    </row>
    <row r="253" spans="1:18" s="116" customFormat="1" ht="9.9499999999999993" customHeight="1" x14ac:dyDescent="0.2">
      <c r="A253" s="66"/>
      <c r="B253" s="66"/>
      <c r="C253" s="66"/>
      <c r="D253" s="66"/>
      <c r="E253" s="66"/>
      <c r="F253" s="178"/>
      <c r="G253" s="147"/>
      <c r="H253" s="117"/>
      <c r="I253" s="117"/>
      <c r="J253" s="117"/>
      <c r="K253" s="117"/>
      <c r="L253" s="117"/>
      <c r="M253" s="130"/>
      <c r="N253" s="128"/>
      <c r="O253" s="129"/>
      <c r="P253" s="49"/>
      <c r="Q253" s="173"/>
      <c r="R253" s="162"/>
    </row>
    <row r="254" spans="1:18" s="116" customFormat="1" ht="9.9499999999999993" customHeight="1" x14ac:dyDescent="0.2">
      <c r="A254" s="66"/>
      <c r="B254" s="66"/>
      <c r="C254" s="66"/>
      <c r="D254" s="66"/>
      <c r="E254" s="66"/>
      <c r="F254" s="178"/>
      <c r="G254" s="147"/>
      <c r="H254" s="117"/>
      <c r="I254" s="117"/>
      <c r="J254" s="117"/>
      <c r="K254" s="117"/>
      <c r="L254" s="117"/>
      <c r="M254" s="130"/>
      <c r="N254" s="128"/>
      <c r="O254" s="129"/>
      <c r="P254" s="49"/>
      <c r="Q254" s="173"/>
      <c r="R254" s="162"/>
    </row>
    <row r="255" spans="1:18" s="116" customFormat="1" ht="9.9499999999999993" customHeight="1" x14ac:dyDescent="0.2">
      <c r="A255" s="66"/>
      <c r="B255" s="66"/>
      <c r="C255" s="66"/>
      <c r="D255" s="66"/>
      <c r="E255" s="66"/>
      <c r="F255" s="178"/>
      <c r="G255" s="147"/>
      <c r="H255" s="117"/>
      <c r="I255" s="117"/>
      <c r="J255" s="117"/>
      <c r="K255" s="117"/>
      <c r="L255" s="117"/>
      <c r="M255" s="130"/>
      <c r="N255" s="128"/>
      <c r="O255" s="129"/>
      <c r="P255" s="49"/>
      <c r="Q255" s="173"/>
      <c r="R255" s="162"/>
    </row>
    <row r="256" spans="1:18" s="116" customFormat="1" ht="9.9499999999999993" customHeight="1" x14ac:dyDescent="0.2">
      <c r="A256" s="66"/>
      <c r="B256" s="66"/>
      <c r="C256" s="66"/>
      <c r="D256" s="66"/>
      <c r="E256" s="66"/>
      <c r="F256" s="178"/>
      <c r="G256" s="147"/>
      <c r="H256" s="117"/>
      <c r="I256" s="117"/>
      <c r="J256" s="117"/>
      <c r="K256" s="117"/>
      <c r="L256" s="117"/>
      <c r="M256" s="130"/>
      <c r="N256" s="128"/>
      <c r="O256" s="129"/>
      <c r="P256" s="49"/>
      <c r="Q256" s="173"/>
      <c r="R256" s="162"/>
    </row>
    <row r="257" spans="1:18" s="116" customFormat="1" ht="9.9499999999999993" customHeight="1" x14ac:dyDescent="0.2">
      <c r="A257" s="66"/>
      <c r="B257" s="66"/>
      <c r="C257" s="66"/>
      <c r="D257" s="66"/>
      <c r="E257" s="66"/>
      <c r="F257" s="178"/>
      <c r="G257" s="147"/>
      <c r="H257" s="117"/>
      <c r="I257" s="117"/>
      <c r="J257" s="117"/>
      <c r="K257" s="117"/>
      <c r="L257" s="117"/>
      <c r="M257" s="130"/>
      <c r="N257" s="128"/>
      <c r="O257" s="129"/>
      <c r="P257" s="49"/>
      <c r="Q257" s="173"/>
      <c r="R257" s="162"/>
    </row>
    <row r="258" spans="1:18" s="116" customFormat="1" ht="9.9499999999999993" customHeight="1" x14ac:dyDescent="0.2">
      <c r="A258" s="66"/>
      <c r="B258" s="66"/>
      <c r="C258" s="66"/>
      <c r="D258" s="66"/>
      <c r="E258" s="66"/>
      <c r="F258" s="178"/>
      <c r="G258" s="147"/>
      <c r="H258" s="117"/>
      <c r="I258" s="117"/>
      <c r="J258" s="117"/>
      <c r="K258" s="117"/>
      <c r="L258" s="117"/>
      <c r="M258" s="130"/>
      <c r="N258" s="128"/>
      <c r="O258" s="129"/>
      <c r="P258" s="49"/>
      <c r="Q258" s="173"/>
      <c r="R258" s="162"/>
    </row>
    <row r="259" spans="1:18" s="116" customFormat="1" ht="9.9499999999999993" customHeight="1" x14ac:dyDescent="0.2">
      <c r="A259" s="66"/>
      <c r="B259" s="66"/>
      <c r="C259" s="66"/>
      <c r="D259" s="66"/>
      <c r="E259" s="66"/>
      <c r="F259" s="178"/>
      <c r="G259" s="147"/>
      <c r="H259" s="117"/>
      <c r="I259" s="117"/>
      <c r="J259" s="117"/>
      <c r="K259" s="117"/>
      <c r="L259" s="117"/>
      <c r="M259" s="130"/>
      <c r="N259" s="128"/>
      <c r="O259" s="129"/>
      <c r="P259" s="49"/>
      <c r="Q259" s="173"/>
      <c r="R259" s="162"/>
    </row>
    <row r="260" spans="1:18" s="116" customFormat="1" ht="9.9499999999999993" customHeight="1" x14ac:dyDescent="0.2">
      <c r="A260" s="66"/>
      <c r="B260" s="66"/>
      <c r="C260" s="66"/>
      <c r="D260" s="66"/>
      <c r="E260" s="66"/>
      <c r="F260" s="178"/>
      <c r="G260" s="144"/>
      <c r="H260" s="117"/>
      <c r="I260" s="117"/>
      <c r="J260" s="117"/>
      <c r="K260" s="117"/>
      <c r="L260" s="117"/>
      <c r="M260" s="130"/>
      <c r="N260" s="128"/>
      <c r="O260" s="129"/>
      <c r="P260" s="49"/>
      <c r="Q260" s="173"/>
      <c r="R260" s="162"/>
    </row>
    <row r="261" spans="1:18" s="116" customFormat="1" ht="9.9499999999999993" customHeight="1" x14ac:dyDescent="0.2">
      <c r="A261" s="66"/>
      <c r="B261" s="66"/>
      <c r="C261" s="66"/>
      <c r="D261" s="66"/>
      <c r="E261" s="66"/>
      <c r="F261" s="178"/>
      <c r="G261" s="144"/>
      <c r="H261" s="117"/>
      <c r="I261" s="117"/>
      <c r="J261" s="117"/>
      <c r="K261" s="117"/>
      <c r="L261" s="117"/>
      <c r="M261" s="130"/>
      <c r="N261" s="128"/>
      <c r="O261" s="129"/>
      <c r="P261" s="49"/>
      <c r="Q261" s="173"/>
      <c r="R261" s="162"/>
    </row>
    <row r="262" spans="1:18" s="116" customFormat="1" ht="9.9499999999999993" customHeight="1" x14ac:dyDescent="0.2">
      <c r="A262" s="66"/>
      <c r="B262" s="66"/>
      <c r="C262" s="66"/>
      <c r="D262" s="66"/>
      <c r="E262" s="66"/>
      <c r="F262" s="178"/>
      <c r="G262" s="144"/>
      <c r="H262" s="117"/>
      <c r="I262" s="117"/>
      <c r="J262" s="117"/>
      <c r="K262" s="117"/>
      <c r="L262" s="117"/>
      <c r="M262" s="130"/>
      <c r="N262" s="128"/>
      <c r="O262" s="129"/>
      <c r="P262" s="49"/>
      <c r="Q262" s="173"/>
      <c r="R262" s="162"/>
    </row>
    <row r="263" spans="1:18" s="116" customFormat="1" ht="9.9499999999999993" customHeight="1" x14ac:dyDescent="0.2">
      <c r="A263" s="66"/>
      <c r="B263" s="66"/>
      <c r="C263" s="66"/>
      <c r="D263" s="66"/>
      <c r="E263" s="66"/>
      <c r="F263" s="178"/>
      <c r="G263" s="144"/>
      <c r="H263" s="117"/>
      <c r="I263" s="117"/>
      <c r="J263" s="117"/>
      <c r="K263" s="117"/>
      <c r="L263" s="117"/>
      <c r="M263" s="130"/>
      <c r="N263" s="128"/>
      <c r="O263" s="129"/>
      <c r="P263" s="49"/>
      <c r="Q263" s="173"/>
      <c r="R263" s="162"/>
    </row>
    <row r="264" spans="1:18" s="116" customFormat="1" ht="9.9499999999999993" customHeight="1" x14ac:dyDescent="0.2">
      <c r="A264" s="66"/>
      <c r="B264" s="66"/>
      <c r="C264" s="66"/>
      <c r="D264" s="66"/>
      <c r="E264" s="66"/>
      <c r="F264" s="178"/>
      <c r="G264" s="144"/>
      <c r="H264" s="117"/>
      <c r="I264" s="117"/>
      <c r="J264" s="117"/>
      <c r="K264" s="117"/>
      <c r="L264" s="117"/>
      <c r="M264" s="130"/>
      <c r="N264" s="128"/>
      <c r="O264" s="129"/>
      <c r="P264" s="49"/>
      <c r="Q264" s="173"/>
      <c r="R264" s="162"/>
    </row>
    <row r="265" spans="1:18" s="116" customFormat="1" ht="9.9499999999999993" customHeight="1" x14ac:dyDescent="0.2">
      <c r="A265" s="66"/>
      <c r="B265" s="66"/>
      <c r="C265" s="66"/>
      <c r="D265" s="66"/>
      <c r="E265" s="66"/>
      <c r="F265" s="178"/>
      <c r="G265" s="144"/>
      <c r="H265" s="117"/>
      <c r="I265" s="117"/>
      <c r="J265" s="117"/>
      <c r="K265" s="117"/>
      <c r="L265" s="117"/>
      <c r="M265" s="130"/>
      <c r="N265" s="128"/>
      <c r="O265" s="129"/>
      <c r="P265" s="49"/>
      <c r="Q265" s="173"/>
      <c r="R265" s="162"/>
    </row>
    <row r="266" spans="1:18" s="116" customFormat="1" ht="9.9499999999999993" customHeight="1" x14ac:dyDescent="0.2">
      <c r="A266" s="66"/>
      <c r="B266" s="66"/>
      <c r="C266" s="66"/>
      <c r="D266" s="66"/>
      <c r="E266" s="66"/>
      <c r="F266" s="178"/>
      <c r="G266" s="144"/>
      <c r="H266" s="117"/>
      <c r="I266" s="117"/>
      <c r="J266" s="117"/>
      <c r="K266" s="117"/>
      <c r="L266" s="117"/>
      <c r="M266" s="130"/>
      <c r="N266" s="128"/>
      <c r="O266" s="129"/>
      <c r="P266" s="49"/>
      <c r="Q266" s="173"/>
      <c r="R266" s="162"/>
    </row>
    <row r="267" spans="1:18" s="116" customFormat="1" ht="9.9499999999999993" customHeight="1" x14ac:dyDescent="0.2">
      <c r="A267" s="66"/>
      <c r="B267" s="66"/>
      <c r="C267" s="66"/>
      <c r="D267" s="66"/>
      <c r="E267" s="66"/>
      <c r="F267" s="178"/>
      <c r="G267" s="144"/>
      <c r="H267" s="117"/>
      <c r="I267" s="117"/>
      <c r="J267" s="117"/>
      <c r="K267" s="117"/>
      <c r="L267" s="117"/>
      <c r="M267" s="130"/>
      <c r="N267" s="128"/>
      <c r="O267" s="129"/>
      <c r="P267" s="49"/>
      <c r="Q267" s="173"/>
      <c r="R267" s="162"/>
    </row>
    <row r="268" spans="1:18" s="116" customFormat="1" ht="9.9499999999999993" customHeight="1" x14ac:dyDescent="0.2">
      <c r="A268" s="66"/>
      <c r="B268" s="66"/>
      <c r="C268" s="66"/>
      <c r="D268" s="66"/>
      <c r="E268" s="66"/>
      <c r="F268" s="178"/>
      <c r="G268" s="144"/>
      <c r="H268" s="117"/>
      <c r="I268" s="117"/>
      <c r="J268" s="117"/>
      <c r="K268" s="117"/>
      <c r="L268" s="117"/>
      <c r="M268" s="130"/>
      <c r="N268" s="128"/>
      <c r="O268" s="129"/>
      <c r="P268" s="49"/>
      <c r="Q268" s="173"/>
      <c r="R268" s="162"/>
    </row>
    <row r="269" spans="1:18" s="116" customFormat="1" ht="9.9499999999999993" customHeight="1" x14ac:dyDescent="0.2">
      <c r="A269" s="66"/>
      <c r="B269" s="66"/>
      <c r="C269" s="66"/>
      <c r="D269" s="66"/>
      <c r="E269" s="66"/>
      <c r="F269" s="178"/>
      <c r="G269" s="144"/>
      <c r="H269" s="117"/>
      <c r="I269" s="117"/>
      <c r="J269" s="117"/>
      <c r="K269" s="117"/>
      <c r="L269" s="117"/>
      <c r="M269" s="130"/>
      <c r="N269" s="128"/>
      <c r="O269" s="129"/>
      <c r="P269" s="49"/>
      <c r="Q269" s="173"/>
      <c r="R269" s="162"/>
    </row>
    <row r="270" spans="1:18" s="116" customFormat="1" ht="9.9499999999999993" customHeight="1" x14ac:dyDescent="0.2">
      <c r="A270" s="66"/>
      <c r="B270" s="66"/>
      <c r="C270" s="66"/>
      <c r="D270" s="66"/>
      <c r="E270" s="66"/>
      <c r="F270" s="178"/>
      <c r="G270" s="144"/>
      <c r="H270" s="117"/>
      <c r="I270" s="117"/>
      <c r="J270" s="117"/>
      <c r="K270" s="117"/>
      <c r="L270" s="117"/>
      <c r="M270" s="130"/>
      <c r="N270" s="128"/>
      <c r="O270" s="129"/>
      <c r="P270" s="49"/>
      <c r="Q270" s="173"/>
      <c r="R270" s="162"/>
    </row>
    <row r="271" spans="1:18" s="116" customFormat="1" ht="9.9499999999999993" customHeight="1" x14ac:dyDescent="0.2">
      <c r="A271" s="66"/>
      <c r="B271" s="66"/>
      <c r="C271" s="66"/>
      <c r="D271" s="66"/>
      <c r="E271" s="66"/>
      <c r="F271" s="178"/>
      <c r="G271" s="144"/>
      <c r="H271" s="117"/>
      <c r="I271" s="117"/>
      <c r="J271" s="117"/>
      <c r="K271" s="117"/>
      <c r="L271" s="117"/>
      <c r="M271" s="130"/>
      <c r="N271" s="128"/>
      <c r="O271" s="129"/>
      <c r="P271" s="49"/>
      <c r="Q271" s="173"/>
      <c r="R271" s="162"/>
    </row>
    <row r="272" spans="1:18" s="116" customFormat="1" ht="9.9499999999999993" customHeight="1" x14ac:dyDescent="0.2">
      <c r="A272" s="66"/>
      <c r="B272" s="66"/>
      <c r="C272" s="66"/>
      <c r="D272" s="66"/>
      <c r="E272" s="66"/>
      <c r="F272" s="178"/>
      <c r="G272" s="144"/>
      <c r="H272" s="117"/>
      <c r="I272" s="117"/>
      <c r="J272" s="117"/>
      <c r="K272" s="117"/>
      <c r="L272" s="117"/>
      <c r="M272" s="130"/>
      <c r="N272" s="128"/>
      <c r="O272" s="129"/>
      <c r="P272" s="49"/>
      <c r="Q272" s="173"/>
      <c r="R272" s="162"/>
    </row>
    <row r="273" spans="1:18" s="116" customFormat="1" ht="9.9499999999999993" customHeight="1" x14ac:dyDescent="0.2">
      <c r="A273" s="66"/>
      <c r="B273" s="66"/>
      <c r="C273" s="66"/>
      <c r="D273" s="66"/>
      <c r="E273" s="66"/>
      <c r="F273" s="178"/>
      <c r="G273" s="144"/>
      <c r="H273" s="117"/>
      <c r="I273" s="117"/>
      <c r="J273" s="117"/>
      <c r="K273" s="117"/>
      <c r="L273" s="117"/>
      <c r="M273" s="130"/>
      <c r="N273" s="128"/>
      <c r="O273" s="129"/>
      <c r="P273" s="49"/>
      <c r="Q273" s="173"/>
      <c r="R273" s="162"/>
    </row>
    <row r="274" spans="1:18" s="116" customFormat="1" ht="9.9499999999999993" customHeight="1" x14ac:dyDescent="0.2">
      <c r="A274" s="66"/>
      <c r="B274" s="66"/>
      <c r="C274" s="66"/>
      <c r="D274" s="66"/>
      <c r="E274" s="66"/>
      <c r="F274" s="178"/>
      <c r="G274" s="144"/>
      <c r="H274" s="117"/>
      <c r="I274" s="117"/>
      <c r="J274" s="117"/>
      <c r="K274" s="117"/>
      <c r="L274" s="117"/>
      <c r="M274" s="130"/>
      <c r="N274" s="128"/>
      <c r="O274" s="129"/>
      <c r="P274" s="49"/>
      <c r="Q274" s="173"/>
      <c r="R274" s="162"/>
    </row>
    <row r="275" spans="1:18" s="116" customFormat="1" ht="9.9499999999999993" customHeight="1" x14ac:dyDescent="0.2">
      <c r="A275" s="66"/>
      <c r="B275" s="66"/>
      <c r="C275" s="66"/>
      <c r="D275" s="66"/>
      <c r="E275" s="66"/>
      <c r="F275" s="178"/>
      <c r="G275" s="144"/>
      <c r="H275" s="117"/>
      <c r="I275" s="117"/>
      <c r="J275" s="117"/>
      <c r="K275" s="117"/>
      <c r="L275" s="117"/>
      <c r="M275" s="130"/>
      <c r="N275" s="128"/>
      <c r="O275" s="129"/>
      <c r="P275" s="49"/>
      <c r="Q275" s="173"/>
      <c r="R275" s="162"/>
    </row>
    <row r="276" spans="1:18" x14ac:dyDescent="0.2">
      <c r="F276" s="179"/>
    </row>
    <row r="277" spans="1:18" x14ac:dyDescent="0.2">
      <c r="F277" s="179"/>
    </row>
    <row r="278" spans="1:18" x14ac:dyDescent="0.2">
      <c r="F278" s="179"/>
    </row>
    <row r="279" spans="1:18" x14ac:dyDescent="0.2">
      <c r="F279" s="179"/>
    </row>
    <row r="280" spans="1:18" x14ac:dyDescent="0.2">
      <c r="F280" s="179"/>
    </row>
    <row r="281" spans="1:18" x14ac:dyDescent="0.2">
      <c r="F281" s="179"/>
    </row>
    <row r="282" spans="1:18" x14ac:dyDescent="0.2">
      <c r="F282" s="179"/>
    </row>
  </sheetData>
  <sheetProtection formatRows="0" insertColumns="0" insertRows="0" insertHyperlinks="0" deleteColumns="0" deleteRows="0" selectLockedCells="1" sort="0" autoFilter="0" pivotTables="0"/>
  <protectedRanges>
    <protectedRange sqref="M185:M186 M166:M176 T10 M190 M11:M163 M204" name="Range1"/>
    <protectedRange sqref="M212:M216 M177:M184 M187:M189 M191:M203 M205:M210" name="Range3"/>
    <protectedRange sqref="P146:Q149 Q102:Q133 R6 P151:Q160 P18:P25 P27:P28 P36:P60 P66:P144 Q136:Q145 Q150 P30:Q34 Q39:Q54 P62:Q64 P1:Q16 Q18:Q28 Q36:Q37 Q56:Q60 Q65:Q100 P162:Q65536 R205" name="Range4"/>
    <protectedRange sqref="A211:E211 N211:IV211 N217:IV275 A217:E275 H220:M275" name="Range5"/>
  </protectedRanges>
  <mergeCells count="4">
    <mergeCell ref="N5:N6"/>
    <mergeCell ref="O5:O6"/>
    <mergeCell ref="K5:K6"/>
    <mergeCell ref="M5:M6"/>
  </mergeCells>
  <phoneticPr fontId="12" type="noConversion"/>
  <printOptions horizontalCentered="1"/>
  <pageMargins left="0.2" right="0.2" top="0.5" bottom="0.47" header="0.51180555555555596" footer="0.51180555555555596"/>
  <pageSetup scale="85" firstPageNumber="0" fitToHeight="3" orientation="portrait" horizontalDpi="300" verticalDpi="300" r:id="rId1"/>
  <headerFooter alignWithMargins="0"/>
  <rowBreaks count="2" manualBreakCount="2">
    <brk id="89" max="16" man="1"/>
    <brk id="16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zoomScaleNormal="100" workbookViewId="0">
      <selection activeCell="B32" sqref="B32"/>
    </sheetView>
  </sheetViews>
  <sheetFormatPr defaultRowHeight="12.75" x14ac:dyDescent="0.2"/>
  <cols>
    <col min="1" max="1" width="19.85546875" customWidth="1"/>
    <col min="2" max="2" width="24.7109375" customWidth="1"/>
    <col min="3" max="4" width="9.140625" style="110" customWidth="1"/>
    <col min="5" max="5" width="12.7109375" style="110" bestFit="1" customWidth="1"/>
    <col min="6" max="6" width="78.5703125" bestFit="1" customWidth="1"/>
  </cols>
  <sheetData>
    <row r="1" spans="1:7" x14ac:dyDescent="0.2">
      <c r="A1" s="27" t="s">
        <v>235</v>
      </c>
      <c r="B1" s="27"/>
      <c r="C1" s="108"/>
      <c r="D1" s="108"/>
      <c r="E1" s="108"/>
    </row>
    <row r="2" spans="1:7" x14ac:dyDescent="0.2">
      <c r="A2" s="27" t="s">
        <v>204</v>
      </c>
      <c r="B2" s="27"/>
      <c r="C2" s="109" t="s">
        <v>279</v>
      </c>
      <c r="D2" s="109" t="s">
        <v>308</v>
      </c>
      <c r="E2" s="109" t="s">
        <v>255</v>
      </c>
    </row>
    <row r="3" spans="1:7" x14ac:dyDescent="0.2">
      <c r="A3" s="27" t="s">
        <v>205</v>
      </c>
      <c r="C3" s="132">
        <v>6757</v>
      </c>
      <c r="D3" s="132">
        <f>(+C3/9)*12</f>
        <v>9009.3333333333339</v>
      </c>
      <c r="E3" s="132">
        <v>8369</v>
      </c>
      <c r="F3" s="28" t="s">
        <v>265</v>
      </c>
    </row>
    <row r="4" spans="1:7" x14ac:dyDescent="0.2">
      <c r="A4" s="27" t="s">
        <v>206</v>
      </c>
      <c r="C4" s="132">
        <v>4321</v>
      </c>
      <c r="D4" s="132">
        <f t="shared" ref="D4:D9" si="0">(+C4/9)*12</f>
        <v>5761.333333333333</v>
      </c>
      <c r="E4" s="132">
        <v>6000</v>
      </c>
      <c r="F4" s="28" t="s">
        <v>256</v>
      </c>
    </row>
    <row r="5" spans="1:7" x14ac:dyDescent="0.2">
      <c r="A5" s="27" t="s">
        <v>207</v>
      </c>
      <c r="C5" s="132">
        <v>7089</v>
      </c>
      <c r="D5" s="132">
        <f t="shared" si="0"/>
        <v>9452</v>
      </c>
      <c r="E5" s="132">
        <v>9500</v>
      </c>
      <c r="F5" s="28" t="s">
        <v>258</v>
      </c>
    </row>
    <row r="6" spans="1:7" x14ac:dyDescent="0.2">
      <c r="A6" s="27" t="s">
        <v>208</v>
      </c>
      <c r="C6" s="132">
        <v>9820</v>
      </c>
      <c r="D6" s="132">
        <f t="shared" si="0"/>
        <v>13093.333333333332</v>
      </c>
      <c r="E6" s="132">
        <v>13100</v>
      </c>
      <c r="F6" s="28" t="s">
        <v>256</v>
      </c>
    </row>
    <row r="7" spans="1:7" x14ac:dyDescent="0.2">
      <c r="A7" s="27" t="s">
        <v>209</v>
      </c>
      <c r="C7" s="132">
        <v>1376</v>
      </c>
      <c r="D7" s="132">
        <f>+C7</f>
        <v>1376</v>
      </c>
      <c r="E7" s="132">
        <v>1400</v>
      </c>
      <c r="F7" s="28" t="s">
        <v>309</v>
      </c>
    </row>
    <row r="8" spans="1:7" ht="13.5" thickBot="1" x14ac:dyDescent="0.25">
      <c r="A8" s="27" t="s">
        <v>210</v>
      </c>
      <c r="C8" s="132">
        <v>4602</v>
      </c>
      <c r="D8" s="132">
        <f t="shared" si="0"/>
        <v>6136</v>
      </c>
      <c r="E8" s="132">
        <f>6200+1200</f>
        <v>7400</v>
      </c>
      <c r="F8" s="28" t="s">
        <v>259</v>
      </c>
    </row>
    <row r="9" spans="1:7" ht="13.5" hidden="1" thickBot="1" x14ac:dyDescent="0.25">
      <c r="A9" s="27" t="s">
        <v>211</v>
      </c>
      <c r="C9" s="133">
        <v>0</v>
      </c>
      <c r="D9" s="132">
        <f t="shared" si="0"/>
        <v>0</v>
      </c>
      <c r="E9" s="133">
        <v>0</v>
      </c>
      <c r="F9" s="29"/>
    </row>
    <row r="10" spans="1:7" x14ac:dyDescent="0.2">
      <c r="A10" s="27" t="s">
        <v>212</v>
      </c>
      <c r="B10" s="27"/>
      <c r="C10" s="132">
        <f>ROUND(SUM(C2:C9),5)</f>
        <v>33965</v>
      </c>
      <c r="D10" s="134">
        <f>ROUND(SUM(D2:D9),5)</f>
        <v>44828</v>
      </c>
      <c r="E10" s="132">
        <f>ROUND(SUM(E2:E9),5)</f>
        <v>45769</v>
      </c>
      <c r="F10" s="23"/>
    </row>
    <row r="11" spans="1:7" x14ac:dyDescent="0.2">
      <c r="C11" s="135"/>
      <c r="D11" s="136" t="s">
        <v>234</v>
      </c>
      <c r="E11" s="137">
        <f>ROUNDDOWN(E10,-2)</f>
        <v>45700</v>
      </c>
    </row>
    <row r="12" spans="1:7" x14ac:dyDescent="0.2">
      <c r="D12" s="111"/>
      <c r="E12" s="112"/>
    </row>
    <row r="13" spans="1:7" x14ac:dyDescent="0.2">
      <c r="A13" s="47" t="s">
        <v>152</v>
      </c>
      <c r="B13" s="47"/>
      <c r="C13" s="138">
        <f>+'Acct Detail ENTER DATA HERE'!J166</f>
        <v>7074</v>
      </c>
      <c r="D13" s="138">
        <f>(+C13/9)*12</f>
        <v>9432</v>
      </c>
      <c r="E13" s="139">
        <f t="shared" ref="E13:E24" si="1">+ROUNDDOWN(D13,-2)</f>
        <v>9400</v>
      </c>
      <c r="F13" s="28" t="s">
        <v>256</v>
      </c>
      <c r="G13" s="74"/>
    </row>
    <row r="14" spans="1:7" hidden="1" x14ac:dyDescent="0.2">
      <c r="A14" s="47" t="s">
        <v>153</v>
      </c>
      <c r="B14" s="47"/>
      <c r="C14" s="138">
        <v>0</v>
      </c>
      <c r="D14" s="138">
        <f>(+C14/10)*12</f>
        <v>0</v>
      </c>
      <c r="E14" s="139">
        <f t="shared" si="1"/>
        <v>0</v>
      </c>
      <c r="F14" s="28" t="s">
        <v>256</v>
      </c>
      <c r="G14" s="74"/>
    </row>
    <row r="15" spans="1:7" x14ac:dyDescent="0.2">
      <c r="A15" s="47" t="s">
        <v>154</v>
      </c>
      <c r="B15" s="47"/>
      <c r="C15" s="138">
        <f>+'Acct Detail ENTER DATA HERE'!J168</f>
        <v>9449</v>
      </c>
      <c r="D15" s="138">
        <f>(+C15/9)*12</f>
        <v>12598.666666666668</v>
      </c>
      <c r="E15" s="139">
        <f t="shared" si="1"/>
        <v>12500</v>
      </c>
      <c r="F15" s="28" t="s">
        <v>256</v>
      </c>
      <c r="G15" s="74"/>
    </row>
    <row r="16" spans="1:7" x14ac:dyDescent="0.2">
      <c r="A16" s="47" t="s">
        <v>155</v>
      </c>
      <c r="B16" s="47"/>
      <c r="C16" s="138">
        <f>+'Acct Detail ENTER DATA HERE'!J169</f>
        <v>5160</v>
      </c>
      <c r="D16" s="138">
        <f>(+C16/9)*12</f>
        <v>6880</v>
      </c>
      <c r="E16" s="139">
        <f t="shared" si="1"/>
        <v>6800</v>
      </c>
      <c r="F16" s="28" t="s">
        <v>263</v>
      </c>
      <c r="G16" s="74"/>
    </row>
    <row r="17" spans="1:7" x14ac:dyDescent="0.2">
      <c r="A17" s="47" t="s">
        <v>156</v>
      </c>
      <c r="B17" s="47"/>
      <c r="C17" s="138">
        <f>+'Acct Detail ENTER DATA HERE'!J170</f>
        <v>7369</v>
      </c>
      <c r="D17" s="138">
        <f>(+C17/9)*12</f>
        <v>9825.3333333333339</v>
      </c>
      <c r="E17" s="139">
        <f t="shared" si="1"/>
        <v>9800</v>
      </c>
      <c r="F17" s="28" t="s">
        <v>256</v>
      </c>
      <c r="G17" s="74"/>
    </row>
    <row r="18" spans="1:7" x14ac:dyDescent="0.2">
      <c r="A18" s="47" t="s">
        <v>260</v>
      </c>
      <c r="B18" s="47"/>
      <c r="C18" s="138">
        <f>+'Acct Detail ENTER DATA HERE'!J171</f>
        <v>15574</v>
      </c>
      <c r="D18" s="138">
        <f>(+C18/9)*12</f>
        <v>20765.333333333332</v>
      </c>
      <c r="E18" s="139">
        <f t="shared" si="1"/>
        <v>20700</v>
      </c>
      <c r="F18" s="28" t="s">
        <v>256</v>
      </c>
      <c r="G18" s="74"/>
    </row>
    <row r="19" spans="1:7" x14ac:dyDescent="0.2">
      <c r="A19" s="47" t="s">
        <v>158</v>
      </c>
      <c r="B19" s="47"/>
      <c r="C19" s="138">
        <f>+'Acct Detail ENTER DATA HERE'!J172</f>
        <v>8658</v>
      </c>
      <c r="D19" s="138">
        <f>(+C19/9)*12</f>
        <v>11544</v>
      </c>
      <c r="E19" s="139">
        <f t="shared" si="1"/>
        <v>11500</v>
      </c>
      <c r="F19" s="28" t="s">
        <v>256</v>
      </c>
      <c r="G19" s="74"/>
    </row>
    <row r="20" spans="1:7" x14ac:dyDescent="0.2">
      <c r="A20" s="47" t="s">
        <v>216</v>
      </c>
      <c r="B20" s="47"/>
      <c r="C20" s="140">
        <f>+C10</f>
        <v>33965</v>
      </c>
      <c r="D20" s="140">
        <f>+D10</f>
        <v>44828</v>
      </c>
      <c r="E20" s="141">
        <f>+E11</f>
        <v>45700</v>
      </c>
      <c r="F20" s="28" t="s">
        <v>245</v>
      </c>
      <c r="G20" s="74"/>
    </row>
    <row r="21" spans="1:7" x14ac:dyDescent="0.2">
      <c r="A21" s="47" t="s">
        <v>159</v>
      </c>
      <c r="B21" s="47"/>
      <c r="C21" s="138">
        <f>+'Acct Detail ENTER DATA HERE'!J174</f>
        <v>9513</v>
      </c>
      <c r="D21" s="138">
        <f t="shared" ref="D21:D26" si="2">(+C21/9)*12</f>
        <v>12684</v>
      </c>
      <c r="E21" s="139">
        <f t="shared" si="1"/>
        <v>12600</v>
      </c>
      <c r="F21" s="28" t="s">
        <v>256</v>
      </c>
      <c r="G21" s="74"/>
    </row>
    <row r="22" spans="1:7" x14ac:dyDescent="0.2">
      <c r="A22" s="47" t="s">
        <v>160</v>
      </c>
      <c r="B22" s="47"/>
      <c r="C22" s="138">
        <f>+'Acct Detail ENTER DATA HERE'!J175</f>
        <v>44386</v>
      </c>
      <c r="D22" s="138">
        <f t="shared" si="2"/>
        <v>59181.333333333328</v>
      </c>
      <c r="E22" s="139">
        <f>6000*12</f>
        <v>72000</v>
      </c>
      <c r="F22" s="28" t="s">
        <v>310</v>
      </c>
    </row>
    <row r="23" spans="1:7" x14ac:dyDescent="0.2">
      <c r="A23" s="47" t="s">
        <v>161</v>
      </c>
      <c r="B23" s="47"/>
      <c r="C23" s="138">
        <f>+'Acct Detail ENTER DATA HERE'!J176</f>
        <v>5187</v>
      </c>
      <c r="D23" s="138">
        <f t="shared" si="2"/>
        <v>6916</v>
      </c>
      <c r="E23" s="139">
        <f t="shared" si="1"/>
        <v>6900</v>
      </c>
      <c r="F23" s="28" t="s">
        <v>256</v>
      </c>
    </row>
    <row r="24" spans="1:7" x14ac:dyDescent="0.2">
      <c r="A24" s="47" t="s">
        <v>165</v>
      </c>
      <c r="C24" s="138">
        <f>+'Acct Detail ENTER DATA HERE'!J181</f>
        <v>40670</v>
      </c>
      <c r="D24" s="138">
        <f t="shared" si="2"/>
        <v>54226.666666666664</v>
      </c>
      <c r="E24" s="139">
        <f t="shared" si="1"/>
        <v>54200</v>
      </c>
      <c r="F24" s="28" t="s">
        <v>256</v>
      </c>
    </row>
    <row r="25" spans="1:7" x14ac:dyDescent="0.2">
      <c r="A25" s="47" t="s">
        <v>169</v>
      </c>
      <c r="C25" s="138">
        <f>+'Acct Detail ENTER DATA HERE'!J185</f>
        <v>16500</v>
      </c>
      <c r="D25" s="138">
        <v>16500</v>
      </c>
      <c r="E25" s="139">
        <v>16500</v>
      </c>
      <c r="F25" s="28" t="s">
        <v>257</v>
      </c>
    </row>
    <row r="26" spans="1:7" x14ac:dyDescent="0.2">
      <c r="A26" s="47" t="s">
        <v>170</v>
      </c>
      <c r="C26" s="138">
        <f>+'Acct Detail ENTER DATA HERE'!J186</f>
        <v>13500</v>
      </c>
      <c r="D26" s="138">
        <f t="shared" si="2"/>
        <v>18000</v>
      </c>
      <c r="E26" s="139">
        <f>+ROUNDDOWN(D26,-2)+1200</f>
        <v>19200</v>
      </c>
      <c r="F26" s="28" t="s">
        <v>311</v>
      </c>
    </row>
  </sheetData>
  <phoneticPr fontId="12" type="noConversion"/>
  <printOptions horizontalCentered="1"/>
  <pageMargins left="0.25" right="0.25" top="0.5" bottom="0.5" header="0.5" footer="0.5"/>
  <pageSetup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90" zoomScaleNormal="190" workbookViewId="0"/>
  </sheetViews>
  <sheetFormatPr defaultRowHeight="12.75" x14ac:dyDescent="0.2"/>
  <sheetData/>
  <sheetProtection selectLockedCells="1" selectUnlockedCells="1"/>
  <phoneticPr fontId="12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90" zoomScaleNormal="190" workbookViewId="0"/>
  </sheetViews>
  <sheetFormatPr defaultRowHeight="12.75" x14ac:dyDescent="0.2"/>
  <sheetData/>
  <sheetProtection selectLockedCells="1" selectUnlockedCells="1"/>
  <phoneticPr fontId="12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Chart Data</vt:lpstr>
      <vt:lpstr>Operating Budget -NO DATA ENTRY</vt:lpstr>
      <vt:lpstr>Acct Detail ENTER DATA HERE</vt:lpstr>
      <vt:lpstr>Office-Admin Exps - ENTER ADMIN</vt:lpstr>
      <vt:lpstr>Sheet2</vt:lpstr>
      <vt:lpstr>Sheet3</vt:lpstr>
      <vt:lpstr>'Acct Detail ENTER DATA HERE'!Print_Area</vt:lpstr>
      <vt:lpstr>'Office-Admin Exps - ENTER ADMIN'!Print_Area</vt:lpstr>
      <vt:lpstr>'Operating Budget -NO DATA ENTRY'!Print_Area</vt:lpstr>
      <vt:lpstr>'Acct Detail ENTER DATA HERE'!Print_Titles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2019-10-13T20:30:51Z</cp:lastPrinted>
  <dcterms:created xsi:type="dcterms:W3CDTF">2011-12-16T21:58:17Z</dcterms:created>
  <dcterms:modified xsi:type="dcterms:W3CDTF">2019-10-31T22:47:48Z</dcterms:modified>
</cp:coreProperties>
</file>